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E:\Documents\AD&amp;D Information\AD&amp;D Characters\Other Campaigns\New folder\"/>
    </mc:Choice>
  </mc:AlternateContent>
  <xr:revisionPtr revIDLastSave="0" documentId="8_{F9B4FBB2-5765-4547-A883-2F9FEC96396E}" xr6:coauthVersionLast="31" xr6:coauthVersionMax="31" xr10:uidLastSave="{00000000-0000-0000-0000-000000000000}"/>
  <bookViews>
    <workbookView xWindow="120" yWindow="330" windowWidth="24915" windowHeight="11895" xr2:uid="{00000000-000D-0000-FFFF-FFFF00000000}"/>
  </bookViews>
  <sheets>
    <sheet name="Sheet1" sheetId="1" r:id="rId1"/>
    <sheet name="Sheet2" sheetId="2" r:id="rId2"/>
  </sheets>
  <definedNames>
    <definedName name="SizeTable">Sheet1!$S$209:$T$217</definedName>
  </definedNames>
  <calcPr calcId="179017"/>
</workbook>
</file>

<file path=xl/calcChain.xml><?xml version="1.0" encoding="utf-8"?>
<calcChain xmlns="http://schemas.openxmlformats.org/spreadsheetml/2006/main">
  <c r="D226" i="2" l="1"/>
  <c r="F351" i="1"/>
  <c r="F352" i="1"/>
  <c r="H642" i="2"/>
  <c r="G629" i="2"/>
  <c r="M628" i="2"/>
  <c r="M626" i="2"/>
  <c r="M625" i="2"/>
  <c r="G625" i="2"/>
  <c r="G626" i="2" s="1"/>
  <c r="M624" i="2"/>
  <c r="G622" i="2"/>
  <c r="G614" i="2"/>
  <c r="I617" i="2" s="1"/>
  <c r="C617" i="2" s="1"/>
  <c r="F614" i="2"/>
  <c r="G613" i="2"/>
  <c r="D622" i="2" s="1"/>
  <c r="F613" i="2"/>
  <c r="F612" i="2"/>
  <c r="E638" i="2" s="1"/>
  <c r="H590" i="2"/>
  <c r="G577" i="2"/>
  <c r="M576" i="2"/>
  <c r="M574" i="2"/>
  <c r="M573" i="2"/>
  <c r="G573" i="2"/>
  <c r="G574" i="2" s="1"/>
  <c r="M572" i="2"/>
  <c r="G570" i="2"/>
  <c r="G562" i="2"/>
  <c r="I565" i="2" s="1"/>
  <c r="C565" i="2" s="1"/>
  <c r="F562" i="2"/>
  <c r="G561" i="2"/>
  <c r="D570" i="2" s="1"/>
  <c r="F561" i="2"/>
  <c r="F560" i="2"/>
  <c r="E586" i="2" s="1"/>
  <c r="H538" i="2"/>
  <c r="H534" i="2"/>
  <c r="G525" i="2"/>
  <c r="M524" i="2"/>
  <c r="M522" i="2"/>
  <c r="M521" i="2"/>
  <c r="G521" i="2"/>
  <c r="M520" i="2"/>
  <c r="I513" i="2"/>
  <c r="C513" i="2" s="1"/>
  <c r="G510" i="2"/>
  <c r="I515" i="2" s="1"/>
  <c r="C515" i="2" s="1"/>
  <c r="F510" i="2"/>
  <c r="F509" i="2"/>
  <c r="G509" i="2" s="1"/>
  <c r="F508" i="2"/>
  <c r="E534" i="2" s="1"/>
  <c r="H493" i="2"/>
  <c r="K487" i="2"/>
  <c r="M480" i="2"/>
  <c r="G481" i="2" s="1"/>
  <c r="M478" i="2"/>
  <c r="G478" i="2"/>
  <c r="M477" i="2"/>
  <c r="G477" i="2"/>
  <c r="M476" i="2"/>
  <c r="F466" i="2"/>
  <c r="G466" i="2" s="1"/>
  <c r="G465" i="2"/>
  <c r="G474" i="2" s="1"/>
  <c r="F465" i="2"/>
  <c r="G464" i="2"/>
  <c r="K488" i="2" s="1"/>
  <c r="F464" i="2"/>
  <c r="E493" i="2" s="1"/>
  <c r="B442" i="2"/>
  <c r="D423" i="2"/>
  <c r="G422" i="2"/>
  <c r="M421" i="2"/>
  <c r="M419" i="2"/>
  <c r="M418" i="2"/>
  <c r="G418" i="2"/>
  <c r="G419" i="2" s="1"/>
  <c r="M417" i="2"/>
  <c r="G415" i="2"/>
  <c r="G407" i="2"/>
  <c r="I410" i="2" s="1"/>
  <c r="C410" i="2" s="1"/>
  <c r="F407" i="2"/>
  <c r="G406" i="2"/>
  <c r="D415" i="2" s="1"/>
  <c r="F406" i="2"/>
  <c r="F405" i="2"/>
  <c r="H442" i="2" s="1"/>
  <c r="H391" i="2"/>
  <c r="E391" i="2"/>
  <c r="B391" i="2"/>
  <c r="R391" i="2" s="1"/>
  <c r="H387" i="2"/>
  <c r="B387" i="2"/>
  <c r="D379" i="2"/>
  <c r="G378" i="2"/>
  <c r="M377" i="2"/>
  <c r="M375" i="2"/>
  <c r="G375" i="2"/>
  <c r="M374" i="2"/>
  <c r="G374" i="2"/>
  <c r="M373" i="2"/>
  <c r="G371" i="2"/>
  <c r="D371" i="2"/>
  <c r="I367" i="2"/>
  <c r="C367" i="2" s="1"/>
  <c r="F363" i="2"/>
  <c r="G363" i="2" s="1"/>
  <c r="G362" i="2"/>
  <c r="J374" i="2" s="1"/>
  <c r="D374" i="2" s="1"/>
  <c r="F362" i="2"/>
  <c r="G361" i="2"/>
  <c r="J375" i="2" s="1"/>
  <c r="F361" i="2"/>
  <c r="E387" i="2" s="1"/>
  <c r="H343" i="2"/>
  <c r="E343" i="2"/>
  <c r="K338" i="2"/>
  <c r="D332" i="2"/>
  <c r="M330" i="2"/>
  <c r="G331" i="2" s="1"/>
  <c r="M328" i="2"/>
  <c r="M327" i="2"/>
  <c r="G327" i="2"/>
  <c r="G328" i="2" s="1"/>
  <c r="M326" i="2"/>
  <c r="F316" i="2"/>
  <c r="G316" i="2" s="1"/>
  <c r="G315" i="2"/>
  <c r="G324" i="2" s="1"/>
  <c r="F315" i="2"/>
  <c r="G314" i="2"/>
  <c r="K337" i="2" s="1"/>
  <c r="F314" i="2"/>
  <c r="B343" i="2" s="1"/>
  <c r="E295" i="2"/>
  <c r="B295" i="2"/>
  <c r="P295" i="2" s="1"/>
  <c r="B291" i="2"/>
  <c r="D283" i="2"/>
  <c r="M281" i="2"/>
  <c r="G282" i="2" s="1"/>
  <c r="M279" i="2"/>
  <c r="M278" i="2"/>
  <c r="G278" i="2"/>
  <c r="G279" i="2" s="1"/>
  <c r="M277" i="2"/>
  <c r="F267" i="2"/>
  <c r="G267" i="2" s="1"/>
  <c r="F266" i="2"/>
  <c r="G266" i="2" s="1"/>
  <c r="F265" i="2"/>
  <c r="H295" i="2" s="1"/>
  <c r="D234" i="2"/>
  <c r="M232" i="2"/>
  <c r="G233" i="2" s="1"/>
  <c r="M230" i="2"/>
  <c r="M229" i="2"/>
  <c r="G229" i="2"/>
  <c r="G230" i="2" s="1"/>
  <c r="M228" i="2"/>
  <c r="F218" i="2"/>
  <c r="G218" i="2" s="1"/>
  <c r="G217" i="2"/>
  <c r="J232" i="2" s="1"/>
  <c r="F217" i="2"/>
  <c r="F216" i="2"/>
  <c r="B242" i="2" s="1"/>
  <c r="B197" i="2"/>
  <c r="H193" i="2"/>
  <c r="B193" i="2"/>
  <c r="D185" i="2"/>
  <c r="M183" i="2"/>
  <c r="G184" i="2" s="1"/>
  <c r="M181" i="2"/>
  <c r="M180" i="2"/>
  <c r="G180" i="2"/>
  <c r="G181" i="2" s="1"/>
  <c r="M179" i="2"/>
  <c r="F169" i="2"/>
  <c r="G169" i="2" s="1"/>
  <c r="F168" i="2"/>
  <c r="G168" i="2" s="1"/>
  <c r="F167" i="2"/>
  <c r="E193" i="2" s="1"/>
  <c r="D132" i="2"/>
  <c r="M130" i="2"/>
  <c r="G131" i="2" s="1"/>
  <c r="M128" i="2"/>
  <c r="G128" i="2"/>
  <c r="M127" i="2"/>
  <c r="G127" i="2"/>
  <c r="M126" i="2"/>
  <c r="F116" i="2"/>
  <c r="G116" i="2" s="1"/>
  <c r="G115" i="2"/>
  <c r="J130" i="2" s="1"/>
  <c r="F115" i="2"/>
  <c r="F114" i="2"/>
  <c r="B140" i="2" s="1"/>
  <c r="B91" i="2"/>
  <c r="H87" i="2"/>
  <c r="B87" i="2"/>
  <c r="R87" i="2" s="1"/>
  <c r="D79" i="2"/>
  <c r="M77" i="2"/>
  <c r="G78" i="2" s="1"/>
  <c r="M75" i="2"/>
  <c r="M74" i="2"/>
  <c r="G74" i="2"/>
  <c r="G75" i="2" s="1"/>
  <c r="M73" i="2"/>
  <c r="F63" i="2"/>
  <c r="G63" i="2" s="1"/>
  <c r="F62" i="2"/>
  <c r="G62" i="2" s="1"/>
  <c r="F61" i="2"/>
  <c r="E87" i="2" s="1"/>
  <c r="D26" i="2"/>
  <c r="M24" i="2"/>
  <c r="G25" i="2" s="1"/>
  <c r="M22" i="2"/>
  <c r="M21" i="2"/>
  <c r="G21" i="2"/>
  <c r="G22" i="2" s="1"/>
  <c r="M20" i="2"/>
  <c r="G15" i="2"/>
  <c r="F15" i="2"/>
  <c r="F14" i="2"/>
  <c r="G14" i="2" s="1"/>
  <c r="F13" i="2"/>
  <c r="G13" i="2" s="1"/>
  <c r="F12" i="2"/>
  <c r="G12" i="2" s="1"/>
  <c r="G11" i="2"/>
  <c r="J24" i="2" s="1"/>
  <c r="F11" i="2"/>
  <c r="F10" i="2"/>
  <c r="B34" i="2" s="1"/>
  <c r="R343" i="2" l="1"/>
  <c r="P343" i="2"/>
  <c r="D24" i="2"/>
  <c r="D25" i="2"/>
  <c r="I514" i="2"/>
  <c r="C514" i="2" s="1"/>
  <c r="G518" i="2"/>
  <c r="D518" i="2"/>
  <c r="J521" i="2"/>
  <c r="J524" i="2"/>
  <c r="I174" i="2"/>
  <c r="C174" i="2" s="1"/>
  <c r="I172" i="2"/>
  <c r="C172" i="2" s="1"/>
  <c r="P242" i="2"/>
  <c r="P140" i="2"/>
  <c r="D375" i="2"/>
  <c r="R442" i="2"/>
  <c r="R34" i="2"/>
  <c r="P34" i="2"/>
  <c r="R387" i="2"/>
  <c r="I68" i="2"/>
  <c r="C68" i="2" s="1"/>
  <c r="I66" i="2"/>
  <c r="C66" i="2" s="1"/>
  <c r="D232" i="2"/>
  <c r="D233" i="2"/>
  <c r="I366" i="2"/>
  <c r="C366" i="2" s="1"/>
  <c r="I368" i="2"/>
  <c r="C368" i="2" s="1"/>
  <c r="G71" i="2"/>
  <c r="D71" i="2"/>
  <c r="J74" i="2"/>
  <c r="J77" i="2"/>
  <c r="I67" i="2"/>
  <c r="C67" i="2" s="1"/>
  <c r="J73" i="2"/>
  <c r="D73" i="2" s="1"/>
  <c r="I82" i="2" s="1"/>
  <c r="I471" i="2"/>
  <c r="C471" i="2" s="1"/>
  <c r="I469" i="2"/>
  <c r="C469" i="2" s="1"/>
  <c r="I221" i="2"/>
  <c r="C221" i="2" s="1"/>
  <c r="I223" i="2"/>
  <c r="C223" i="2" s="1"/>
  <c r="D130" i="2"/>
  <c r="D131" i="2"/>
  <c r="I321" i="2"/>
  <c r="C321" i="2" s="1"/>
  <c r="I319" i="2"/>
  <c r="C319" i="2" s="1"/>
  <c r="G275" i="2"/>
  <c r="D275" i="2"/>
  <c r="J278" i="2"/>
  <c r="D278" i="2" s="1"/>
  <c r="J281" i="2"/>
  <c r="I271" i="2"/>
  <c r="C271" i="2" s="1"/>
  <c r="I119" i="2"/>
  <c r="C119" i="2" s="1"/>
  <c r="I121" i="2"/>
  <c r="C121" i="2" s="1"/>
  <c r="G177" i="2"/>
  <c r="J180" i="2"/>
  <c r="J183" i="2"/>
  <c r="I173" i="2"/>
  <c r="C173" i="2" s="1"/>
  <c r="D177" i="2"/>
  <c r="R193" i="2"/>
  <c r="I272" i="2"/>
  <c r="C272" i="2" s="1"/>
  <c r="I270" i="2"/>
  <c r="C270" i="2" s="1"/>
  <c r="D521" i="2"/>
  <c r="E38" i="2"/>
  <c r="J127" i="2"/>
  <c r="D127" i="2" s="1"/>
  <c r="I136" i="2" s="1"/>
  <c r="E140" i="2"/>
  <c r="R140" i="2" s="1"/>
  <c r="B438" i="2"/>
  <c r="P442" i="2"/>
  <c r="H586" i="2"/>
  <c r="H638" i="2"/>
  <c r="E144" i="2"/>
  <c r="J229" i="2"/>
  <c r="D229" i="2" s="1"/>
  <c r="I238" i="2" s="1"/>
  <c r="E242" i="2"/>
  <c r="R242" i="2" s="1"/>
  <c r="E91" i="2"/>
  <c r="R91" i="2" s="1"/>
  <c r="D124" i="2"/>
  <c r="H140" i="2"/>
  <c r="E197" i="2"/>
  <c r="R197" i="2" s="1"/>
  <c r="H242" i="2"/>
  <c r="E291" i="2"/>
  <c r="R291" i="2" s="1"/>
  <c r="R295" i="2"/>
  <c r="J326" i="2"/>
  <c r="D326" i="2" s="1"/>
  <c r="J328" i="2"/>
  <c r="D328" i="2" s="1"/>
  <c r="J377" i="2"/>
  <c r="P387" i="2"/>
  <c r="G405" i="2"/>
  <c r="I411" i="2"/>
  <c r="C411" i="2" s="1"/>
  <c r="E438" i="2"/>
  <c r="J476" i="2"/>
  <c r="D476" i="2" s="1"/>
  <c r="J478" i="2"/>
  <c r="D478" i="2" s="1"/>
  <c r="K485" i="2"/>
  <c r="B493" i="2"/>
  <c r="G560" i="2"/>
  <c r="I566" i="2"/>
  <c r="C566" i="2" s="1"/>
  <c r="G612" i="2"/>
  <c r="I618" i="2"/>
  <c r="C618" i="2" s="1"/>
  <c r="D18" i="2"/>
  <c r="H34" i="2"/>
  <c r="G18" i="2"/>
  <c r="G61" i="2"/>
  <c r="D74" i="2"/>
  <c r="I83" i="2" s="1"/>
  <c r="H91" i="2"/>
  <c r="G124" i="2"/>
  <c r="G167" i="2"/>
  <c r="D180" i="2"/>
  <c r="I189" i="2" s="1"/>
  <c r="H197" i="2"/>
  <c r="G226" i="2"/>
  <c r="G265" i="2"/>
  <c r="H291" i="2"/>
  <c r="K335" i="2"/>
  <c r="J421" i="2"/>
  <c r="H438" i="2"/>
  <c r="J576" i="2"/>
  <c r="J628" i="2"/>
  <c r="E246" i="2"/>
  <c r="J21" i="2"/>
  <c r="D21" i="2" s="1"/>
  <c r="I30" i="2" s="1"/>
  <c r="E34" i="2"/>
  <c r="P91" i="2"/>
  <c r="P197" i="2"/>
  <c r="P291" i="2"/>
  <c r="I320" i="2"/>
  <c r="C320" i="2" s="1"/>
  <c r="I412" i="2"/>
  <c r="C412" i="2" s="1"/>
  <c r="J418" i="2"/>
  <c r="D418" i="2" s="1"/>
  <c r="I434" i="2" s="1"/>
  <c r="I470" i="2"/>
  <c r="C470" i="2" s="1"/>
  <c r="K486" i="2"/>
  <c r="B538" i="2"/>
  <c r="I567" i="2"/>
  <c r="C567" i="2" s="1"/>
  <c r="J573" i="2"/>
  <c r="D573" i="2" s="1"/>
  <c r="B590" i="2"/>
  <c r="I619" i="2"/>
  <c r="C619" i="2" s="1"/>
  <c r="J625" i="2"/>
  <c r="D625" i="2" s="1"/>
  <c r="B642" i="2"/>
  <c r="J327" i="2"/>
  <c r="D327" i="2" s="1"/>
  <c r="I339" i="2" s="1"/>
  <c r="J20" i="2"/>
  <c r="D20" i="2" s="1"/>
  <c r="I29" i="2" s="1"/>
  <c r="B38" i="2"/>
  <c r="B144" i="2"/>
  <c r="B246" i="2"/>
  <c r="J330" i="2"/>
  <c r="K336" i="2"/>
  <c r="J480" i="2"/>
  <c r="G522" i="2"/>
  <c r="E538" i="2"/>
  <c r="E590" i="2"/>
  <c r="E642" i="2"/>
  <c r="J477" i="2"/>
  <c r="D477" i="2" s="1"/>
  <c r="I489" i="2" s="1"/>
  <c r="G10" i="2"/>
  <c r="P87" i="2"/>
  <c r="G114" i="2"/>
  <c r="I120" i="2"/>
  <c r="C120" i="2" s="1"/>
  <c r="H144" i="2"/>
  <c r="P193" i="2"/>
  <c r="G216" i="2"/>
  <c r="I222" i="2"/>
  <c r="C222" i="2" s="1"/>
  <c r="H246" i="2"/>
  <c r="D324" i="2"/>
  <c r="J373" i="2"/>
  <c r="D373" i="2" s="1"/>
  <c r="P391" i="2"/>
  <c r="E442" i="2"/>
  <c r="D474" i="2"/>
  <c r="B534" i="2"/>
  <c r="B586" i="2"/>
  <c r="B638" i="2"/>
  <c r="H38" i="2"/>
  <c r="G508" i="2"/>
  <c r="R534" i="2" l="1"/>
  <c r="P534" i="2"/>
  <c r="I488" i="2"/>
  <c r="I487" i="2"/>
  <c r="I486" i="2"/>
  <c r="I485" i="2"/>
  <c r="R538" i="2"/>
  <c r="P538" i="2"/>
  <c r="J626" i="2"/>
  <c r="D626" i="2" s="1"/>
  <c r="J624" i="2"/>
  <c r="D624" i="2"/>
  <c r="D524" i="2"/>
  <c r="D525" i="2"/>
  <c r="J419" i="2"/>
  <c r="D419" i="2" s="1"/>
  <c r="J417" i="2"/>
  <c r="D417" i="2" s="1"/>
  <c r="K433" i="2"/>
  <c r="K429" i="2"/>
  <c r="K432" i="2"/>
  <c r="K428" i="2"/>
  <c r="K431" i="2"/>
  <c r="K427" i="2"/>
  <c r="K430" i="2"/>
  <c r="K426" i="2"/>
  <c r="P38" i="2"/>
  <c r="R38" i="2"/>
  <c r="D422" i="2"/>
  <c r="D421" i="2"/>
  <c r="K529" i="2"/>
  <c r="J522" i="2"/>
  <c r="D522" i="2" s="1"/>
  <c r="J520" i="2"/>
  <c r="D520" i="2" s="1"/>
  <c r="I529" i="2" s="1"/>
  <c r="K135" i="2"/>
  <c r="J128" i="2"/>
  <c r="D128" i="2" s="1"/>
  <c r="J126" i="2"/>
  <c r="D126" i="2" s="1"/>
  <c r="I135" i="2" s="1"/>
  <c r="D481" i="2"/>
  <c r="D480" i="2"/>
  <c r="R642" i="2"/>
  <c r="P642" i="2"/>
  <c r="J574" i="2"/>
  <c r="D574" i="2" s="1"/>
  <c r="J572" i="2"/>
  <c r="D572" i="2"/>
  <c r="P144" i="2"/>
  <c r="R144" i="2"/>
  <c r="D183" i="2"/>
  <c r="D184" i="2"/>
  <c r="K188" i="2"/>
  <c r="J181" i="2"/>
  <c r="D181" i="2" s="1"/>
  <c r="J179" i="2"/>
  <c r="D179" i="2" s="1"/>
  <c r="I188" i="2" s="1"/>
  <c r="J279" i="2"/>
  <c r="D279" i="2" s="1"/>
  <c r="J277" i="2"/>
  <c r="D277" i="2" s="1"/>
  <c r="J75" i="2"/>
  <c r="D75" i="2" s="1"/>
  <c r="K82" i="2"/>
  <c r="R493" i="2"/>
  <c r="P493" i="2"/>
  <c r="D378" i="2"/>
  <c r="D377" i="2"/>
  <c r="R638" i="2"/>
  <c r="P638" i="2"/>
  <c r="J22" i="2"/>
  <c r="D22" i="2" s="1"/>
  <c r="K29" i="2"/>
  <c r="D331" i="2"/>
  <c r="D330" i="2"/>
  <c r="D629" i="2"/>
  <c r="D628" i="2"/>
  <c r="R438" i="2"/>
  <c r="P438" i="2"/>
  <c r="D77" i="2"/>
  <c r="D78" i="2"/>
  <c r="K237" i="2"/>
  <c r="J230" i="2"/>
  <c r="D230" i="2" s="1"/>
  <c r="J228" i="2"/>
  <c r="D228" i="2" s="1"/>
  <c r="I237" i="2" s="1"/>
  <c r="R586" i="2"/>
  <c r="P586" i="2"/>
  <c r="P246" i="2"/>
  <c r="R246" i="2"/>
  <c r="R590" i="2"/>
  <c r="P590" i="2"/>
  <c r="D577" i="2"/>
  <c r="D576" i="2"/>
  <c r="I338" i="2"/>
  <c r="I336" i="2"/>
  <c r="I335" i="2"/>
  <c r="I337" i="2"/>
  <c r="D282" i="2"/>
  <c r="D281" i="2"/>
  <c r="I430" i="2" l="1"/>
  <c r="I426" i="2"/>
  <c r="I432" i="2"/>
  <c r="I428" i="2"/>
  <c r="I433" i="2"/>
  <c r="I431" i="2"/>
  <c r="I427" i="2"/>
  <c r="I429" i="2"/>
  <c r="D383" i="1" l="1"/>
  <c r="E423" i="1" l="1"/>
  <c r="E422" i="1" l="1"/>
  <c r="U350" i="1"/>
  <c r="U351" i="1"/>
  <c r="U352" i="1"/>
  <c r="U353" i="1"/>
  <c r="U354" i="1"/>
  <c r="U355" i="1"/>
  <c r="U356" i="1"/>
  <c r="U357" i="1"/>
  <c r="U358" i="1"/>
  <c r="U359" i="1"/>
  <c r="U360" i="1"/>
  <c r="U361" i="1"/>
  <c r="U362" i="1"/>
  <c r="U363" i="1"/>
  <c r="U364" i="1"/>
  <c r="U365" i="1"/>
  <c r="U366" i="1"/>
  <c r="U367" i="1"/>
  <c r="U368" i="1"/>
  <c r="U369" i="1"/>
  <c r="U349" i="1"/>
  <c r="K750" i="1" l="1"/>
  <c r="J750" i="1"/>
  <c r="K749" i="1"/>
  <c r="J749" i="1"/>
  <c r="K748" i="1"/>
  <c r="J748" i="1"/>
  <c r="H744" i="1"/>
  <c r="K744" i="1" s="1"/>
  <c r="H743" i="1"/>
  <c r="K743" i="1" s="1"/>
  <c r="H742" i="1"/>
  <c r="K742" i="1" s="1"/>
  <c r="H738" i="1"/>
  <c r="K738" i="1" s="1"/>
  <c r="H737" i="1"/>
  <c r="K737" i="1" s="1"/>
  <c r="H736" i="1"/>
  <c r="J736" i="1" s="1"/>
  <c r="D439" i="1"/>
  <c r="J441" i="1" s="1"/>
  <c r="K736" i="1" l="1"/>
  <c r="J738" i="1"/>
  <c r="J742" i="1"/>
  <c r="J744" i="1"/>
  <c r="J737" i="1"/>
  <c r="J743" i="1"/>
  <c r="D441" i="1"/>
  <c r="F441" i="1"/>
  <c r="G441" i="1"/>
  <c r="C441" i="1"/>
  <c r="E441" i="1"/>
  <c r="H441" i="1"/>
  <c r="I441" i="1"/>
  <c r="B441" i="1"/>
  <c r="F706" i="1"/>
  <c r="F697" i="1"/>
  <c r="F695" i="1"/>
  <c r="F681" i="1"/>
  <c r="F677" i="1"/>
  <c r="F676" i="1"/>
  <c r="F667" i="1" l="1"/>
  <c r="F608" i="1"/>
  <c r="F606" i="1"/>
  <c r="F588" i="1"/>
  <c r="F582" i="1"/>
  <c r="F536" i="1" l="1"/>
  <c r="F533" i="1"/>
  <c r="F532" i="1"/>
  <c r="F529" i="1"/>
  <c r="F527" i="1"/>
  <c r="F522" i="1"/>
  <c r="F545" i="1"/>
  <c r="F495" i="1"/>
  <c r="B24" i="1" l="1"/>
  <c r="I66" i="1" l="1"/>
  <c r="I67" i="1"/>
  <c r="I68" i="1"/>
  <c r="I69" i="1"/>
  <c r="I70" i="1"/>
  <c r="J70" i="1" s="1"/>
  <c r="I65" i="1"/>
  <c r="B385" i="1" l="1"/>
  <c r="D416" i="1"/>
  <c r="B202" i="1"/>
  <c r="E385" i="1" l="1"/>
  <c r="G385" i="1"/>
  <c r="J385" i="1"/>
  <c r="C385" i="1"/>
  <c r="H385" i="1"/>
  <c r="K385" i="1"/>
  <c r="D385" i="1"/>
  <c r="F385" i="1"/>
  <c r="I385" i="1"/>
  <c r="I418" i="1"/>
  <c r="D418" i="1"/>
  <c r="K418" i="1"/>
  <c r="C418" i="1"/>
  <c r="E418" i="1"/>
  <c r="F418" i="1"/>
  <c r="G418" i="1"/>
  <c r="H418" i="1"/>
  <c r="J418" i="1"/>
  <c r="B418" i="1"/>
  <c r="H202" i="1"/>
  <c r="E202" i="1"/>
  <c r="G218" i="1" l="1"/>
  <c r="M216" i="1" l="1"/>
  <c r="P216" i="1"/>
  <c r="J218" i="1"/>
  <c r="G216" i="1"/>
  <c r="B23" i="1" l="1"/>
  <c r="B22" i="1"/>
  <c r="B21" i="1"/>
  <c r="M214" i="1" l="1"/>
  <c r="M213" i="1"/>
  <c r="M212" i="1"/>
  <c r="B10" i="1" l="1"/>
  <c r="B11" i="1"/>
  <c r="B12" i="1"/>
  <c r="B13" i="1"/>
  <c r="B14" i="1"/>
  <c r="B15" i="1"/>
  <c r="B16" i="1"/>
  <c r="B17" i="1"/>
  <c r="B18" i="1"/>
  <c r="B19" i="1"/>
  <c r="B20" i="1"/>
  <c r="G217" i="1" l="1"/>
  <c r="D484" i="1"/>
  <c r="J69" i="1"/>
  <c r="J67" i="1"/>
  <c r="J68" i="1"/>
  <c r="J66" i="1"/>
  <c r="I75" i="1" s="1"/>
  <c r="J65" i="1"/>
  <c r="F673" i="1" s="1"/>
  <c r="I76" i="1" l="1"/>
  <c r="I74" i="1"/>
  <c r="F349" i="1"/>
  <c r="F350" i="1"/>
  <c r="G324" i="1"/>
  <c r="G322" i="1"/>
  <c r="F510" i="1"/>
  <c r="F641" i="1"/>
  <c r="F670" i="1"/>
  <c r="F662" i="1"/>
  <c r="F666" i="1"/>
  <c r="D483" i="1"/>
  <c r="F599" i="1"/>
  <c r="G282" i="1"/>
  <c r="G304" i="1"/>
  <c r="G287" i="1"/>
  <c r="G301" i="1"/>
  <c r="G290" i="1"/>
  <c r="G318" i="1"/>
  <c r="G303" i="1"/>
  <c r="G285" i="1"/>
  <c r="G277" i="1"/>
  <c r="G300" i="1"/>
  <c r="G315" i="1"/>
  <c r="G302" i="1"/>
  <c r="G284" i="1"/>
  <c r="G311" i="1"/>
  <c r="G308" i="1"/>
  <c r="G327" i="1"/>
  <c r="G307" i="1"/>
  <c r="G299" i="1"/>
  <c r="G306" i="1"/>
  <c r="G298" i="1"/>
  <c r="G305" i="1"/>
  <c r="G317" i="1"/>
  <c r="G313" i="1"/>
  <c r="G320" i="1"/>
  <c r="G312" i="1"/>
  <c r="G294" i="1"/>
  <c r="G289" i="1"/>
  <c r="G331" i="1"/>
  <c r="G279" i="1"/>
  <c r="G328" i="1"/>
  <c r="G310" i="1"/>
  <c r="G316" i="1"/>
  <c r="G283" i="1"/>
  <c r="G278" i="1"/>
  <c r="G309" i="1"/>
  <c r="G293" i="1"/>
  <c r="G325" i="1"/>
  <c r="G323" i="1"/>
  <c r="G319" i="1"/>
  <c r="G292" i="1"/>
  <c r="G295" i="1"/>
  <c r="G291" i="1"/>
  <c r="G286" i="1"/>
  <c r="G280" i="1"/>
  <c r="G288" i="1"/>
  <c r="G330" i="1"/>
  <c r="G329" i="1"/>
  <c r="G314" i="1"/>
  <c r="G296" i="1"/>
  <c r="G326" i="1"/>
  <c r="G297" i="1"/>
  <c r="G281" i="1"/>
  <c r="J213" i="1"/>
  <c r="H200" i="1"/>
  <c r="E200" i="1"/>
  <c r="B200" i="1"/>
  <c r="J214" i="1"/>
  <c r="J216" i="1"/>
  <c r="D217" i="1" s="1"/>
  <c r="G210" i="1"/>
  <c r="D210" i="1" s="1"/>
  <c r="E194" i="1"/>
  <c r="K171" i="1" s="1"/>
  <c r="E193" i="1"/>
  <c r="K170" i="1" s="1"/>
  <c r="E192" i="1"/>
  <c r="E191" i="1"/>
  <c r="J171" i="1"/>
  <c r="J170" i="1"/>
  <c r="J169" i="1"/>
  <c r="G212" i="1" l="1"/>
  <c r="G213" i="1" s="1"/>
  <c r="G214" i="1" s="1"/>
  <c r="D214" i="1" s="1"/>
  <c r="I327" i="1"/>
  <c r="E327" i="1" s="1"/>
  <c r="I319" i="1"/>
  <c r="E319" i="1" s="1"/>
  <c r="I311" i="1"/>
  <c r="E311" i="1" s="1"/>
  <c r="I303" i="1"/>
  <c r="E303" i="1" s="1"/>
  <c r="I295" i="1"/>
  <c r="E295" i="1" s="1"/>
  <c r="I287" i="1"/>
  <c r="E287" i="1" s="1"/>
  <c r="I279" i="1"/>
  <c r="I310" i="1"/>
  <c r="E310" i="1" s="1"/>
  <c r="I294" i="1"/>
  <c r="F76" i="1"/>
  <c r="C76" i="1" s="1"/>
  <c r="I326" i="1"/>
  <c r="I318" i="1"/>
  <c r="E318" i="1" s="1"/>
  <c r="I302" i="1"/>
  <c r="E302" i="1" s="1"/>
  <c r="I286" i="1"/>
  <c r="E286" i="1" s="1"/>
  <c r="F75" i="1"/>
  <c r="C75" i="1" s="1"/>
  <c r="I325" i="1"/>
  <c r="E325" i="1" s="1"/>
  <c r="I317" i="1"/>
  <c r="E317" i="1" s="1"/>
  <c r="I309" i="1"/>
  <c r="E309" i="1" s="1"/>
  <c r="I301" i="1"/>
  <c r="E301" i="1" s="1"/>
  <c r="I293" i="1"/>
  <c r="E293" i="1" s="1"/>
  <c r="I285" i="1"/>
  <c r="E285" i="1" s="1"/>
  <c r="I277" i="1"/>
  <c r="E277" i="1" s="1"/>
  <c r="I296" i="1"/>
  <c r="E296" i="1" s="1"/>
  <c r="F74" i="1"/>
  <c r="C74" i="1" s="1"/>
  <c r="I324" i="1"/>
  <c r="E324" i="1" s="1"/>
  <c r="I316" i="1"/>
  <c r="E316" i="1" s="1"/>
  <c r="I308" i="1"/>
  <c r="E308" i="1" s="1"/>
  <c r="I300" i="1"/>
  <c r="E300" i="1" s="1"/>
  <c r="I292" i="1"/>
  <c r="E292" i="1" s="1"/>
  <c r="I284" i="1"/>
  <c r="E284" i="1" s="1"/>
  <c r="D34" i="1"/>
  <c r="D36" i="1" s="1"/>
  <c r="I312" i="1"/>
  <c r="I278" i="1"/>
  <c r="E278" i="1" s="1"/>
  <c r="I331" i="1"/>
  <c r="E331" i="1" s="1"/>
  <c r="I323" i="1"/>
  <c r="E323" i="1" s="1"/>
  <c r="I315" i="1"/>
  <c r="E315" i="1" s="1"/>
  <c r="I307" i="1"/>
  <c r="E307" i="1" s="1"/>
  <c r="I299" i="1"/>
  <c r="E299" i="1" s="1"/>
  <c r="I291" i="1"/>
  <c r="E291" i="1" s="1"/>
  <c r="I283" i="1"/>
  <c r="E283" i="1" s="1"/>
  <c r="I304" i="1"/>
  <c r="E304" i="1" s="1"/>
  <c r="I280" i="1"/>
  <c r="E280" i="1" s="1"/>
  <c r="I330" i="1"/>
  <c r="E330" i="1" s="1"/>
  <c r="I322" i="1"/>
  <c r="E322" i="1" s="1"/>
  <c r="I314" i="1"/>
  <c r="E314" i="1" s="1"/>
  <c r="I306" i="1"/>
  <c r="E306" i="1" s="1"/>
  <c r="I298" i="1"/>
  <c r="E298" i="1" s="1"/>
  <c r="I290" i="1"/>
  <c r="E290" i="1" s="1"/>
  <c r="I282" i="1"/>
  <c r="E282" i="1" s="1"/>
  <c r="I328" i="1"/>
  <c r="I288" i="1"/>
  <c r="E288" i="1" s="1"/>
  <c r="I329" i="1"/>
  <c r="E329" i="1" s="1"/>
  <c r="I321" i="1"/>
  <c r="I313" i="1"/>
  <c r="E313" i="1" s="1"/>
  <c r="I305" i="1"/>
  <c r="E305" i="1" s="1"/>
  <c r="I297" i="1"/>
  <c r="I289" i="1"/>
  <c r="I281" i="1"/>
  <c r="I320" i="1"/>
  <c r="K169" i="1"/>
  <c r="K179" i="1" s="1"/>
  <c r="D196" i="1"/>
  <c r="J212" i="1"/>
  <c r="D216" i="1"/>
  <c r="K172" i="1" l="1"/>
  <c r="K202" i="1" s="1"/>
  <c r="R202" i="1" s="1"/>
  <c r="D212" i="1"/>
  <c r="D213" i="1"/>
  <c r="K200" i="1"/>
  <c r="P202" i="1" l="1"/>
  <c r="P200" i="1"/>
  <c r="R200" i="1"/>
  <c r="D218" i="1" s="1"/>
  <c r="J326" i="1" l="1"/>
  <c r="E326" i="1" s="1"/>
  <c r="J281" i="1"/>
  <c r="E281" i="1" s="1"/>
  <c r="J320" i="1"/>
  <c r="E320" i="1" s="1"/>
  <c r="J294" i="1"/>
  <c r="E294" i="1" s="1"/>
  <c r="J312" i="1"/>
  <c r="E312" i="1" s="1"/>
  <c r="J297" i="1"/>
  <c r="E297" i="1" s="1"/>
  <c r="J279" i="1"/>
  <c r="E279" i="1" s="1"/>
  <c r="J289" i="1"/>
  <c r="E289" i="1" s="1"/>
  <c r="J328" i="1"/>
  <c r="E328" i="1" s="1"/>
</calcChain>
</file>

<file path=xl/sharedStrings.xml><?xml version="1.0" encoding="utf-8"?>
<sst xmlns="http://schemas.openxmlformats.org/spreadsheetml/2006/main" count="3107" uniqueCount="1002">
  <si>
    <t>Player Information</t>
  </si>
  <si>
    <t>-</t>
  </si>
  <si>
    <t>Index</t>
  </si>
  <si>
    <t>Character Information</t>
  </si>
  <si>
    <t>Character Name:</t>
  </si>
  <si>
    <t>Race:</t>
  </si>
  <si>
    <t>Region:</t>
  </si>
  <si>
    <t>Alignment:</t>
  </si>
  <si>
    <t>Max. Hit Points:</t>
  </si>
  <si>
    <t>Current Hit Points:</t>
  </si>
  <si>
    <t>Armor Class:</t>
  </si>
  <si>
    <t>Age:</t>
  </si>
  <si>
    <t>Height:</t>
  </si>
  <si>
    <t>Weight:</t>
  </si>
  <si>
    <t>Armor Check Penalty:</t>
  </si>
  <si>
    <t>Max. Dex Modifier:</t>
  </si>
  <si>
    <t>Arcane Spell Failure:</t>
  </si>
  <si>
    <t>Size:</t>
  </si>
  <si>
    <t>Name:</t>
  </si>
  <si>
    <t>History and General Information</t>
  </si>
  <si>
    <t>Important Background Characters:</t>
  </si>
  <si>
    <t>Ability Scores</t>
  </si>
  <si>
    <t>Ability</t>
  </si>
  <si>
    <t>Score</t>
  </si>
  <si>
    <t>Modifier</t>
  </si>
  <si>
    <t>Strength</t>
  </si>
  <si>
    <t>Dexterity</t>
  </si>
  <si>
    <t>Constitution</t>
  </si>
  <si>
    <t>Intelligence</t>
  </si>
  <si>
    <t>Wisdom</t>
  </si>
  <si>
    <t>Charisma</t>
  </si>
  <si>
    <t>Fortitude:</t>
  </si>
  <si>
    <t>Reflex:</t>
  </si>
  <si>
    <t>Will:</t>
  </si>
  <si>
    <t>Base Save Bonus:</t>
  </si>
  <si>
    <t>Constitution Modifier:</t>
  </si>
  <si>
    <t>Dexterity Modifier:</t>
  </si>
  <si>
    <t>Wisdom Modifier:</t>
  </si>
  <si>
    <t>Magic Modifier:</t>
  </si>
  <si>
    <t>Misc. Modifier:</t>
  </si>
  <si>
    <t>Arms &amp; Equipment</t>
  </si>
  <si>
    <t>Item Name</t>
  </si>
  <si>
    <t>Reference Page</t>
  </si>
  <si>
    <t>Total Weight</t>
  </si>
  <si>
    <t>Total Weight Contained</t>
  </si>
  <si>
    <t>Pockets:</t>
  </si>
  <si>
    <t>Readied Weapons:</t>
  </si>
  <si>
    <t>Money &amp; Wealth:</t>
  </si>
  <si>
    <t>Value</t>
  </si>
  <si>
    <t>Monetary Unit</t>
  </si>
  <si>
    <t>Copper Piece</t>
  </si>
  <si>
    <t>Silver Piece</t>
  </si>
  <si>
    <t>Platinum Piece</t>
  </si>
  <si>
    <t>Total Liquid Assets (in GP)</t>
  </si>
  <si>
    <t>Money Pouch (Silver and Copper)</t>
  </si>
  <si>
    <t>Gold Piece</t>
  </si>
  <si>
    <t>Money Pouch (Gold)</t>
  </si>
  <si>
    <t>Money Pouch (Platinum)</t>
  </si>
  <si>
    <t>Price (GP)</t>
  </si>
  <si>
    <t>Encumbrance:</t>
  </si>
  <si>
    <t>Unencumbered Speed</t>
  </si>
  <si>
    <t>Current Speed</t>
  </si>
  <si>
    <t>Maximum Light Load (Lbs.)</t>
  </si>
  <si>
    <t>Maximum Medium Load (Lbs).</t>
  </si>
  <si>
    <t>Maximum Heavy Load (Lbs.)</t>
  </si>
  <si>
    <t>Current Load (Lbs.)</t>
  </si>
  <si>
    <t>Net Worth (in GP)</t>
  </si>
  <si>
    <t>Magical Equipment Descriptions</t>
  </si>
  <si>
    <t>Total</t>
  </si>
  <si>
    <t>Combat</t>
  </si>
  <si>
    <t>Dexterity Bonus:</t>
  </si>
  <si>
    <t>Base Attack Bonus:</t>
  </si>
  <si>
    <t>Strength Modifier:</t>
  </si>
  <si>
    <t>Size Modifier:</t>
  </si>
  <si>
    <t>Initiative Bonus:</t>
  </si>
  <si>
    <t>Melee Bonus:</t>
  </si>
  <si>
    <t>Ranged Bonus:</t>
  </si>
  <si>
    <t>Grapple Bonus:</t>
  </si>
  <si>
    <t>Armor Bonus:</t>
  </si>
  <si>
    <t>Shield Bonus:</t>
  </si>
  <si>
    <t>Natural Armor:</t>
  </si>
  <si>
    <t>Deflection Modifier:</t>
  </si>
  <si>
    <t>Touch Armor Class:</t>
  </si>
  <si>
    <t>Medium</t>
  </si>
  <si>
    <t>Dodge Modifier:</t>
  </si>
  <si>
    <t>Melee Weapon:</t>
  </si>
  <si>
    <t>Attack Bonus:</t>
  </si>
  <si>
    <t>Damage:</t>
  </si>
  <si>
    <t>Critical:</t>
  </si>
  <si>
    <t>Range Increment:</t>
  </si>
  <si>
    <t>Ranged Weapon:</t>
  </si>
  <si>
    <t>Racial/Class/Special Abilities</t>
  </si>
  <si>
    <t>Racial Abilities:</t>
  </si>
  <si>
    <t>Summarized Effects</t>
  </si>
  <si>
    <t>Class Abilities:</t>
  </si>
  <si>
    <t>Special Abilities:</t>
  </si>
  <si>
    <t>Feats/Flaws/Skills/Languages</t>
  </si>
  <si>
    <t>Feats:</t>
  </si>
  <si>
    <t>Feat</t>
  </si>
  <si>
    <t>Flaws:</t>
  </si>
  <si>
    <t>Flaw</t>
  </si>
  <si>
    <t>Skills:</t>
  </si>
  <si>
    <t>Skill</t>
  </si>
  <si>
    <t>Key Ability</t>
  </si>
  <si>
    <t>Skill Modifier</t>
  </si>
  <si>
    <t>Ability Modifier</t>
  </si>
  <si>
    <t>Ranks</t>
  </si>
  <si>
    <t>Armor Check Penalty</t>
  </si>
  <si>
    <t>Synergy Bonus</t>
  </si>
  <si>
    <t>Appraise</t>
  </si>
  <si>
    <t>Int</t>
  </si>
  <si>
    <t>Balance</t>
  </si>
  <si>
    <t>Dex</t>
  </si>
  <si>
    <t>Bluff</t>
  </si>
  <si>
    <t>Cha</t>
  </si>
  <si>
    <t>Climb</t>
  </si>
  <si>
    <t>Str</t>
  </si>
  <si>
    <t>Concentration</t>
  </si>
  <si>
    <t>Con</t>
  </si>
  <si>
    <t>Craft</t>
  </si>
  <si>
    <t>Decipher Script</t>
  </si>
  <si>
    <t>Diplomacy</t>
  </si>
  <si>
    <t>Disable Device</t>
  </si>
  <si>
    <t>Disguise</t>
  </si>
  <si>
    <t>Escape Artist</t>
  </si>
  <si>
    <t>Forgery</t>
  </si>
  <si>
    <t>Gather Information</t>
  </si>
  <si>
    <t>Handle Animal</t>
  </si>
  <si>
    <t>Heal</t>
  </si>
  <si>
    <t>Wis</t>
  </si>
  <si>
    <t>Hide</t>
  </si>
  <si>
    <t>Intimidate</t>
  </si>
  <si>
    <t>Jump</t>
  </si>
  <si>
    <t>Listen</t>
  </si>
  <si>
    <t>Martial Lore</t>
  </si>
  <si>
    <t>Move Silently</t>
  </si>
  <si>
    <t>Open Lock</t>
  </si>
  <si>
    <t>Perform</t>
  </si>
  <si>
    <t>Psicraft</t>
  </si>
  <si>
    <t>Profession</t>
  </si>
  <si>
    <t>Ride</t>
  </si>
  <si>
    <t>Search</t>
  </si>
  <si>
    <t>Sense Motive</t>
  </si>
  <si>
    <t>Sleight of Hand</t>
  </si>
  <si>
    <t>Spellcraft</t>
  </si>
  <si>
    <t>Spot</t>
  </si>
  <si>
    <t>Survival</t>
  </si>
  <si>
    <t>Swim</t>
  </si>
  <si>
    <t>Tumble</t>
  </si>
  <si>
    <t>Use Magic Device</t>
  </si>
  <si>
    <t>Use Psionic Device</t>
  </si>
  <si>
    <t>Use Rope</t>
  </si>
  <si>
    <t>Languages:</t>
  </si>
  <si>
    <t>Language:</t>
  </si>
  <si>
    <t>General Notes</t>
  </si>
  <si>
    <t>Active Effects</t>
  </si>
  <si>
    <t>Effect</t>
  </si>
  <si>
    <t>Duration</t>
  </si>
  <si>
    <t>Time Cast</t>
  </si>
  <si>
    <t>Current Caster Level:</t>
  </si>
  <si>
    <t>DC's by spell level:</t>
  </si>
  <si>
    <t>Level 0</t>
  </si>
  <si>
    <t>Level 1</t>
  </si>
  <si>
    <t>Level 2</t>
  </si>
  <si>
    <t>Level 3</t>
  </si>
  <si>
    <t>Level 4</t>
  </si>
  <si>
    <t>Level 5</t>
  </si>
  <si>
    <t>Level 6</t>
  </si>
  <si>
    <t>Level 7</t>
  </si>
  <si>
    <t>Level 8</t>
  </si>
  <si>
    <t>Level 9</t>
  </si>
  <si>
    <t>Casting Attribute:</t>
  </si>
  <si>
    <t>Spell Slots:</t>
  </si>
  <si>
    <t>Level</t>
  </si>
  <si>
    <t>Spent</t>
  </si>
  <si>
    <t>Spell</t>
  </si>
  <si>
    <t>Weight</t>
  </si>
  <si>
    <t>Flat-Footed AC:</t>
  </si>
  <si>
    <t>Kn. Architecture</t>
  </si>
  <si>
    <t>Kn. Arcana</t>
  </si>
  <si>
    <t>Kn. Dungeoneering</t>
  </si>
  <si>
    <t>Kn. Geography</t>
  </si>
  <si>
    <t>Kn. History</t>
  </si>
  <si>
    <t>Kn. Local</t>
  </si>
  <si>
    <t>Kn. Nature</t>
  </si>
  <si>
    <t>Kn. Nobility</t>
  </si>
  <si>
    <t>Kn. Religion</t>
  </si>
  <si>
    <t>Kn. the Planes</t>
  </si>
  <si>
    <t>HD</t>
  </si>
  <si>
    <t>HP Gain</t>
  </si>
  <si>
    <t>Feats</t>
  </si>
  <si>
    <t>Special</t>
  </si>
  <si>
    <t>Fine</t>
  </si>
  <si>
    <t>Diminutive</t>
  </si>
  <si>
    <t>Tiny</t>
  </si>
  <si>
    <t>Small</t>
  </si>
  <si>
    <t>Large</t>
  </si>
  <si>
    <t>Huge</t>
  </si>
  <si>
    <t>Gargantuan</t>
  </si>
  <si>
    <t>Colossal</t>
  </si>
  <si>
    <t>Current Wounds:</t>
  </si>
  <si>
    <t>Autohypnosis</t>
  </si>
  <si>
    <t>Kn. Psionics</t>
  </si>
  <si>
    <t>Truespeak</t>
  </si>
  <si>
    <t>Speak Language</t>
  </si>
  <si>
    <t>Iaijutsu Focus</t>
  </si>
  <si>
    <t>Regional Background:</t>
  </si>
  <si>
    <t>Spell Resistance:</t>
  </si>
  <si>
    <t>Type:</t>
  </si>
  <si>
    <t>Saving Throws and Spell Resistance</t>
  </si>
  <si>
    <t xml:space="preserve">Physical Description of Character: </t>
  </si>
  <si>
    <t xml:space="preserve">Personality Description (How others who know her well would describe it): </t>
  </si>
  <si>
    <t xml:space="preserve">Fears, phobias, or obstacles in her path to self-mastery: </t>
  </si>
  <si>
    <t xml:space="preserve">Choose a couple guiding principles for the character, by which she lives her life: </t>
  </si>
  <si>
    <t xml:space="preserve">Description of early life of character: </t>
  </si>
  <si>
    <t xml:space="preserve">Description of apprenticeship, training, etc: </t>
  </si>
  <si>
    <r>
      <rPr>
        <sz val="11"/>
        <color theme="0"/>
        <rFont val="Calibri"/>
        <family val="2"/>
        <scheme val="minor"/>
      </rPr>
      <t>Truename of character:</t>
    </r>
    <r>
      <rPr>
        <sz val="11"/>
        <color rgb="FFFF0000"/>
        <rFont val="Calibri"/>
        <family val="2"/>
        <scheme val="minor"/>
      </rPr>
      <t xml:space="preserve"> </t>
    </r>
  </si>
  <si>
    <t>Control Shape</t>
  </si>
  <si>
    <t>Vestige Abilities</t>
  </si>
  <si>
    <t>Binder Level:</t>
  </si>
  <si>
    <t xml:space="preserve">Vestige Ability DC: </t>
  </si>
  <si>
    <t>Bound Vestiges:</t>
  </si>
  <si>
    <t>Vestige Name</t>
  </si>
  <si>
    <t>Good/Poor Pact</t>
  </si>
  <si>
    <t>Granted Abilities</t>
  </si>
  <si>
    <t>Vestige Abilities:</t>
  </si>
  <si>
    <t>Granting Vestige</t>
  </si>
  <si>
    <t>Invocations</t>
  </si>
  <si>
    <t>Invocation Level:</t>
  </si>
  <si>
    <t>Known Invocations</t>
  </si>
  <si>
    <t>Invocation</t>
  </si>
  <si>
    <t>Grade</t>
  </si>
  <si>
    <t>Soulmelds</t>
  </si>
  <si>
    <t>Meldshaper Level:</t>
  </si>
  <si>
    <t>Max Soulmelds:</t>
  </si>
  <si>
    <t>Max Invested Essentia:</t>
  </si>
  <si>
    <t>Max Chakra Binds:</t>
  </si>
  <si>
    <t>Shaped Soulmelds</t>
  </si>
  <si>
    <t>Chakra</t>
  </si>
  <si>
    <t>Soulmeld</t>
  </si>
  <si>
    <t>Bound</t>
  </si>
  <si>
    <t>Available Soulmelds</t>
  </si>
  <si>
    <t>Essentia</t>
  </si>
  <si>
    <t>Damage Reduction:</t>
  </si>
  <si>
    <t>Worn Clothing and Gear:</t>
  </si>
  <si>
    <t>Worn Armor:</t>
  </si>
  <si>
    <t>ACP:</t>
  </si>
  <si>
    <t>ASF:</t>
  </si>
  <si>
    <t>Max Dex:</t>
  </si>
  <si>
    <t>AC:</t>
  </si>
  <si>
    <t>Speed Reduction:</t>
  </si>
  <si>
    <t>Worn Shield:</t>
  </si>
  <si>
    <t>Advancement Table:</t>
  </si>
  <si>
    <t>Note: Levels without HP Gain listed are planned future levels.</t>
  </si>
  <si>
    <t>Other</t>
  </si>
  <si>
    <t>Enh.</t>
  </si>
  <si>
    <t>Circumstance Bonus</t>
  </si>
  <si>
    <t>Competence Bonus</t>
  </si>
  <si>
    <t>Other Bonus</t>
  </si>
  <si>
    <t>Lucid Dreaming</t>
  </si>
  <si>
    <t>BAB</t>
  </si>
  <si>
    <t>Inh.</t>
  </si>
  <si>
    <t>Current Fly Speed</t>
  </si>
  <si>
    <t>Unencumbered Fly Speed</t>
  </si>
  <si>
    <t>Racial</t>
  </si>
  <si>
    <t>End of Line</t>
  </si>
  <si>
    <t>Fort</t>
  </si>
  <si>
    <t>Ref</t>
  </si>
  <si>
    <t>Will</t>
  </si>
  <si>
    <r>
      <rPr>
        <sz val="11"/>
        <color theme="0"/>
        <rFont val="Calibri"/>
        <family val="2"/>
        <scheme val="minor"/>
      </rPr>
      <t>Description of Item:</t>
    </r>
    <r>
      <rPr>
        <sz val="11"/>
        <color rgb="FF00B0F0"/>
        <rFont val="Calibri"/>
        <family val="2"/>
        <scheme val="minor"/>
      </rPr>
      <t xml:space="preserve"> -</t>
    </r>
  </si>
  <si>
    <t>Common</t>
  </si>
  <si>
    <t>Stellar Navigation</t>
  </si>
  <si>
    <t>Malphas</t>
  </si>
  <si>
    <t>Darkvision</t>
  </si>
  <si>
    <t>Amon</t>
  </si>
  <si>
    <t>Darkvision out to 60 ft.</t>
  </si>
  <si>
    <t>22 Tome of Magic</t>
  </si>
  <si>
    <t>Fire Breath</t>
  </si>
  <si>
    <t>Ram Attack</t>
  </si>
  <si>
    <t>Ram's horns act as natural weapon dealing 1d6 damage plus 1.5x strength bonus.  Charges deal 1d8.</t>
  </si>
  <si>
    <t>Jester's Mirth</t>
  </si>
  <si>
    <t>Andromalius</t>
  </si>
  <si>
    <t>24 Tome of Magic</t>
  </si>
  <si>
    <t>Locate Item</t>
  </si>
  <si>
    <t>See the Unseen</t>
  </si>
  <si>
    <t>Sense Trickery</t>
  </si>
  <si>
    <t>Gain a +4 bonus on Sense Motive, Appraise, and Spot checks made to oppose Disguise checks.  Automatically notice attempts to take items from you with Sleight of Hand.</t>
  </si>
  <si>
    <t>Sneak Attack</t>
  </si>
  <si>
    <t>Gain 2d6 extra damage under all conditions of the rogue's Sneak Attack ability.  For every 5 effective binder levels beyond 5th, gain an extra 1d6.</t>
  </si>
  <si>
    <t>Dwarven Step</t>
  </si>
  <si>
    <t>Aym</t>
  </si>
  <si>
    <t>Able to move at normal speed while wearing medium or heavy armor.</t>
  </si>
  <si>
    <t>Halo of Fire</t>
  </si>
  <si>
    <t>Any opponent striking the binder in melee with a non-reach weapon takes 1d6 fire damage; binder can make touch attacks for 1d6 fire damage.</t>
  </si>
  <si>
    <t>Improved Sunder</t>
  </si>
  <si>
    <t>Gain the Improved Sunder feat.</t>
  </si>
  <si>
    <t>Medium Armor Prof.</t>
  </si>
  <si>
    <t>Gain proficiency with all medium armor.</t>
  </si>
  <si>
    <t>Resistance to Fire</t>
  </si>
  <si>
    <t>Gain resistance to fire 10.</t>
  </si>
  <si>
    <t>Ruinous Attack</t>
  </si>
  <si>
    <t>Melee attacks deal double damage to objects.  If effective binder level is equal or greater than 10, melee attacks are treated as adamantine for overcoming damage reduction.</t>
  </si>
  <si>
    <t>Mad Soul</t>
  </si>
  <si>
    <t>Dahlver-Nar</t>
  </si>
  <si>
    <t>Immunity to wisdom damage, drain, madness, insanity, and confusion.</t>
  </si>
  <si>
    <t>28 Tome of Magic</t>
  </si>
  <si>
    <t>Maddening Moan</t>
  </si>
  <si>
    <t>Moan, causing all within 30 ft. to succeed on a Will save or be dazed for 1 round.  1/5 round ability.</t>
  </si>
  <si>
    <t>Natural Armor</t>
  </si>
  <si>
    <t>Gain a natural armor bonus equal to half constitution modifier.</t>
  </si>
  <si>
    <t>Shield Self</t>
  </si>
  <si>
    <t>Designate one creature within 10 ft./EBL to share damage taken, if the subject fails a will save.  While subject remains in range, half of all damage taken by the binder is redirected to the subject instead.</t>
  </si>
  <si>
    <t>Aura of Sadness</t>
  </si>
  <si>
    <t>Focalor</t>
  </si>
  <si>
    <t>All adjacent creatures take a -2 to attack rolls, saving throws, and skill checks.  Mind-affecting, no save.</t>
  </si>
  <si>
    <t>31 Tome of Magic</t>
  </si>
  <si>
    <t>Focalor's Breath</t>
  </si>
  <si>
    <t>Single target within 30 ft. is blinded for 1 round unless it succeeds on a Fort save.  1/5 round ability.</t>
  </si>
  <si>
    <t>Lightning Strike</t>
  </si>
  <si>
    <t>Water Breathing</t>
  </si>
  <si>
    <t>Able to breathe water as easily as air.</t>
  </si>
  <si>
    <t>Confusing Touch</t>
  </si>
  <si>
    <t>Haagenti</t>
  </si>
  <si>
    <t>34 Tome of Magic</t>
  </si>
  <si>
    <t>Immunity to Transformation</t>
  </si>
  <si>
    <t>No mortal magic can permanently affect the binder's form; can regain normal form at the beginning of a turn as a free action.</t>
  </si>
  <si>
    <t>Shield Proficiency</t>
  </si>
  <si>
    <t>Gain proficiency with all shields, including tower shields.</t>
  </si>
  <si>
    <t>Weapon Proficiency</t>
  </si>
  <si>
    <t>Proficient with the battleaxe, greataxe, handaxe, and throwing axe.</t>
  </si>
  <si>
    <t>Heavy Magic</t>
  </si>
  <si>
    <t>Karsus</t>
  </si>
  <si>
    <t>Increases DC for saving throws vs. the effects of magical items used by the binder by +2.</t>
  </si>
  <si>
    <t>37 Tome of Magic</t>
  </si>
  <si>
    <t>Karsus's Senses</t>
  </si>
  <si>
    <t>Karsus's Touch</t>
  </si>
  <si>
    <t>38 Tome of Magic</t>
  </si>
  <si>
    <t>Karsus's Will</t>
  </si>
  <si>
    <t>Able to use spell trigger items such as wands and staves as a wizard.</t>
  </si>
  <si>
    <t>Hide Bonus</t>
  </si>
  <si>
    <t>Leraje</t>
  </si>
  <si>
    <t>Gain a +4 competence bonus to Hide checks.</t>
  </si>
  <si>
    <t>39 Tome of Magic</t>
  </si>
  <si>
    <t>Low-Light Vision</t>
  </si>
  <si>
    <t>Gain Low-Light Vision.</t>
  </si>
  <si>
    <t>Precise Shot</t>
  </si>
  <si>
    <t>Gain the Precise Shot feat.</t>
  </si>
  <si>
    <t>Ricochet</t>
  </si>
  <si>
    <t>Make a single ranged attack vs. two adjacent targets, apply the same attack roll to the AC of both targets and deal damage to both targets normally.</t>
  </si>
  <si>
    <t>Proficient with the composite longbow, composite shortbow, longbow, and shortbow.  If already proficient, gain +1 competence to attack with them.</t>
  </si>
  <si>
    <t>Bird's Eye Viewing</t>
  </si>
  <si>
    <t>Summon a dove or raven whose actions are completely under the binder's control and through which she can see and hear (with its spot and listen bonuses).</t>
  </si>
  <si>
    <t>Invisibility</t>
  </si>
  <si>
    <t>Poison Use</t>
  </si>
  <si>
    <t>Able to use poison without risking poisoning oneself.</t>
  </si>
  <si>
    <t>40 Tome of Magic</t>
  </si>
  <si>
    <t>Sudden Strike</t>
  </si>
  <si>
    <t>Disguise Self</t>
  </si>
  <si>
    <t>Naberius</t>
  </si>
  <si>
    <t>41 Tome of Magic</t>
  </si>
  <si>
    <t>Faster Ability Healing</t>
  </si>
  <si>
    <t>Heal 1 point in each damaged ability score every round, heal 1 point to each drained ability score every hour.</t>
  </si>
  <si>
    <t>Naberius's Skills</t>
  </si>
  <si>
    <t>42 Tome of Magic</t>
  </si>
  <si>
    <t>Persuasive Words</t>
  </si>
  <si>
    <t>Silver Tongue</t>
  </si>
  <si>
    <t>Able to take 10 on Diplomacy and Bluff checks even when distracted or threatened.  Able to make a rushed Diplomacy check as a standard action with no penalty.</t>
  </si>
  <si>
    <t>Dance of Death</t>
  </si>
  <si>
    <t>Paimon</t>
  </si>
  <si>
    <t>Move up to your speed, make a single attack against any creature moved past.  1/5 round ability.</t>
  </si>
  <si>
    <t>44 Tome of Magic</t>
  </si>
  <si>
    <t>Paimon's Blades</t>
  </si>
  <si>
    <t>Gain proficiency with the rapier and shortsword, and the benefit of the weapon finesse feat.</t>
  </si>
  <si>
    <t>Paimon's Dexterity</t>
  </si>
  <si>
    <t>Gain a +4 bonus to dexterity.</t>
  </si>
  <si>
    <t>Paimon's Skills</t>
  </si>
  <si>
    <t>Able to use the Tumble skill untrained, gain a +4 bonus on Tumble and Perform (Dance) checks.</t>
  </si>
  <si>
    <t>Uncanny Dodge</t>
  </si>
  <si>
    <t>Retain Dex bonus to AC even when flat-footed or struck by an invisible opponent.</t>
  </si>
  <si>
    <t>Whirlwind Attack</t>
  </si>
  <si>
    <t>Gain the Whirlwind Attack feat.</t>
  </si>
  <si>
    <t>Cold Iron and Magic Attacks</t>
  </si>
  <si>
    <t>Ronove</t>
  </si>
  <si>
    <t>Melee attacks count as magic for overcoming damage reduction.  At effective binder level 7th or higher, they also count as cold iron.</t>
  </si>
  <si>
    <t>45 Tome of Magic</t>
  </si>
  <si>
    <t>Far Hand</t>
  </si>
  <si>
    <t>Able to lift and move objects, also pushes creatures and deals 1d6 damage.</t>
  </si>
  <si>
    <t>Feather Fall</t>
  </si>
  <si>
    <t>Ronove's Fists</t>
  </si>
  <si>
    <t>Gain Improved Unarmed Strike.  Unarmed strikes deal damage as a monk of effective binder level.</t>
  </si>
  <si>
    <t>Sprint</t>
  </si>
  <si>
    <t>Gain +10 enhancement bonus to base land speed.</t>
  </si>
  <si>
    <t>Call Armor</t>
  </si>
  <si>
    <t>Savnok</t>
  </si>
  <si>
    <t>Able to summon a suit of masterwork full plate armor as a full-round action.</t>
  </si>
  <si>
    <t>46 Tome of Magic</t>
  </si>
  <si>
    <t>Heavy Armor</t>
  </si>
  <si>
    <t>Gain proficiency with heavy armor.</t>
  </si>
  <si>
    <t>47 Tome of Magic</t>
  </si>
  <si>
    <t>Move Ally</t>
  </si>
  <si>
    <t>Savnok's Armor</t>
  </si>
  <si>
    <t>Divine Structure</t>
  </si>
  <si>
    <t>Primus</t>
  </si>
  <si>
    <t>When performing the same actions in the same order in consecutive rounds, gain a +1 competence bonus to attacks, skill checks, and saves.</t>
  </si>
  <si>
    <t>74 Dragon #341</t>
  </si>
  <si>
    <t>Lawful Attacks</t>
  </si>
  <si>
    <t>All melee and ranged attacks are considered lawful for the purposes of overcoming damage reduction, and gain +1d6 damage when hitting a chaotic creature with a melee or ranged attack, including touch attacks, but not ranged touch attacks.</t>
  </si>
  <si>
    <t>Primus's Order</t>
  </si>
  <si>
    <t>Ahazu's Abduction</t>
  </si>
  <si>
    <t>Ahazu</t>
  </si>
  <si>
    <t>Able to send a creature within 30 feet into the void between planes for 1 round at will, as a standard action.  Will negates, and if will save is successful, the same creature cannot be targeted again for 24 hours.</t>
  </si>
  <si>
    <t>82 Dungeon #146</t>
  </si>
  <si>
    <t>Ahazu's Touch</t>
  </si>
  <si>
    <t>Blindsight</t>
  </si>
  <si>
    <t>Void Mind</t>
  </si>
  <si>
    <t>Detect Undead</t>
  </si>
  <si>
    <t>Acererak</t>
  </si>
  <si>
    <t>20 Tome of Magic</t>
  </si>
  <si>
    <t>Hide from Undead</t>
  </si>
  <si>
    <t>Lich's Energy Immunities</t>
  </si>
  <si>
    <t>Immune to cold and electricity damage.</t>
  </si>
  <si>
    <t>Paralyzing Touch</t>
  </si>
  <si>
    <t>Melee touch attack causes target to become paralyzed for 1/2 EBL rounds unless it succeeds on a fort save.  1/5 round ability.</t>
  </si>
  <si>
    <t>Speak with Dead</t>
  </si>
  <si>
    <t>Undead Healing</t>
  </si>
  <si>
    <t>Negative energy heals instead of damaging.  If the binder is normally healed by positive energy, this still heals as well.</t>
  </si>
  <si>
    <t>Earth and Air Mastery</t>
  </si>
  <si>
    <t>Agares</t>
  </si>
  <si>
    <t>+1 to attack rolls and weapon damage if both binder and enemy are touching the ground.  Airborne foes take a -1 penalty to attack and weapon damage.</t>
  </si>
  <si>
    <t>21 Tome of Magic</t>
  </si>
  <si>
    <t>Earthshaking Step</t>
  </si>
  <si>
    <t>Every creature within 10 ft. of the binder must make a reflex save or fall prone.  Binder and her earth elemental are never knocked prone by the use of this ability.</t>
  </si>
  <si>
    <t>Elemental Companion</t>
  </si>
  <si>
    <t>Fear Immunity</t>
  </si>
  <si>
    <t>Immunity to all fear effects.</t>
  </si>
  <si>
    <t>True Speech</t>
  </si>
  <si>
    <t>Able to speak, understand, read, and write all languages spoken by creatures within 30 feet of you that you can see and hear.  Once the binder speaks the unknown language, the ability is retained until the pact with Agares is dismissed.  Cannot lie in an unknown language.</t>
  </si>
  <si>
    <t>Andras</t>
  </si>
  <si>
    <t>Profcient with the greatsword, lance, longsword, and rapier.</t>
  </si>
  <si>
    <t>Mount</t>
  </si>
  <si>
    <t>Once per day as a full-round action, summon a heavy warhorse with saddle and heavy lance.  Serves as a trained mount for 1 hour/EBL, or until it is killed, dismissed, or the pact with Andras ends.</t>
  </si>
  <si>
    <t>Saddle Sure</t>
  </si>
  <si>
    <t>Gain a +8 untyped bonus on ride checks.</t>
  </si>
  <si>
    <t>Smite Good or Evil</t>
  </si>
  <si>
    <t>Smite a creature that is either good or evil; add Charisma bonus to attack roll and EBL to damage.  1/5 round ability.</t>
  </si>
  <si>
    <t>Sow Discord</t>
  </si>
  <si>
    <t>Target makes a will save or must attack a randomly determined ally within reach as his next action.  1/5 round ability.</t>
  </si>
  <si>
    <t>Sure Blows</t>
  </si>
  <si>
    <t>Gain the benefit of Improved Critical with any wielded weapon.</t>
  </si>
  <si>
    <t>Balam's Cunning</t>
  </si>
  <si>
    <t>Balam</t>
  </si>
  <si>
    <t>Reroll one attack, saving throw, or skill check.  1/5 round ability.</t>
  </si>
  <si>
    <t>25 Tome of Magic</t>
  </si>
  <si>
    <t>Icy Glare</t>
  </si>
  <si>
    <t>Gain a gaze attack, deals 2d6 damage, will negates.</t>
  </si>
  <si>
    <t>Prescience</t>
  </si>
  <si>
    <t>Gain an insight bonus of +1 for every 4 EBL to initiative checks, reflex saves, and AC.</t>
  </si>
  <si>
    <t>26 Tome of Magic</t>
  </si>
  <si>
    <t>Weapon Finesse</t>
  </si>
  <si>
    <t>Gain the Weapon Finesse feat.</t>
  </si>
  <si>
    <t>Buer's Knowledge</t>
  </si>
  <si>
    <t>Buer</t>
  </si>
  <si>
    <t>Gain a +4 bonus on Heal, Knowledge (Nature) and Survival checks, and can make Knowledge (Nature) checks as if trained.</t>
  </si>
  <si>
    <t>Buer's Purity</t>
  </si>
  <si>
    <t>Immune to all disease and poison, and any existing disease and poison is neutralized.</t>
  </si>
  <si>
    <t>Delay Diseases and Poisons</t>
  </si>
  <si>
    <t>Allies within 30 ft. are immune to the effects of disease and poison; they must still make saving throws, but as long as they remain within 30 ft. they do not incur the effects.  Leaving the area immediately applies all effects for any failed saving throws.</t>
  </si>
  <si>
    <t>Fast Healing</t>
  </si>
  <si>
    <t>Gain fast healing 1, increases to 2 at 10th level, 3 at 13th level, 4 at 16th level, and 5 at 19th level.</t>
  </si>
  <si>
    <t>Healing Gift</t>
  </si>
  <si>
    <t>Track</t>
  </si>
  <si>
    <t>Gain the benefits of the Track feat.</t>
  </si>
  <si>
    <t>Aura of Despair</t>
  </si>
  <si>
    <t>Chupoclops</t>
  </si>
  <si>
    <t>All creatures within 10 ft. take a -2 penalty to attacks, checks, saves, and weapon damage.  No saving throw, but ability is a mind-affecting fear ability.</t>
  </si>
  <si>
    <t>27 Tome of Magic</t>
  </si>
  <si>
    <t>Ethereal Watcher</t>
  </si>
  <si>
    <t>Able to become ethereal as a move action.  Once ethereal, remain that way indefinitely as long as no actions are taken, but immediately after taking a move, standard, or full-round action, return to the material plane.  1/5 round ability, countdown begins upon returning to the material plane.</t>
  </si>
  <si>
    <t>Ghost Touch</t>
  </si>
  <si>
    <t>Poison Bite</t>
  </si>
  <si>
    <t>Gain a bite attack that deals damage as per the table (1d4 for medium).  Supposedly a 'poison' bite, but no poison damage listed.</t>
  </si>
  <si>
    <t>Pounce</t>
  </si>
  <si>
    <t>Gain the pounce ability; able to make a full attack at the end of a charge.</t>
  </si>
  <si>
    <t>Soulsense</t>
  </si>
  <si>
    <t>Awe of Dantalion</t>
  </si>
  <si>
    <t>Dantalion</t>
  </si>
  <si>
    <t>As a move action, any creature that sees the binder becomes incapable of attacking her or targeting her with a hostile spell for 1 round.  Effect ends if binder makes a hostile action toward an affected creature or its allies.  1/5 round ability.</t>
  </si>
  <si>
    <t>29 Tome of Magic</t>
  </si>
  <si>
    <t>Dantalion Knows</t>
  </si>
  <si>
    <t>Gain a +8 untyped bonus on all knowledge checks.</t>
  </si>
  <si>
    <t>Read Thoughts</t>
  </si>
  <si>
    <t>As a full-round action, read the thoughts of any creature that can be seen which is within 5 ft./EBL.  If the target makes a will save, cannot read its thoughts for 1 minute.</t>
  </si>
  <si>
    <t>Thought Travel</t>
  </si>
  <si>
    <t>As a standard action usable a number of times per day equal to EBL, teleport to any location within sight and within 5 ft./EBL.  1/5 round ability.</t>
  </si>
  <si>
    <t>Chromatic Strike</t>
  </si>
  <si>
    <t>Eligor</t>
  </si>
  <si>
    <t>As a free action, charge a melee attack with acid, cold, electricity, or fire, to deal 1d6 damage of the chosen energy type.  Each attack can be charged only once.  As a free action, can be used between attacks in a full attack sequence.</t>
  </si>
  <si>
    <t>30 Tome of Magic</t>
  </si>
  <si>
    <t>Eligor's Skill in the Saddle</t>
  </si>
  <si>
    <t>Gain the Ride-By Attack and Spirited Charge feats.</t>
  </si>
  <si>
    <t>Eligor's Strength</t>
  </si>
  <si>
    <t>Gain a +4 untyped bonus to strength.</t>
  </si>
  <si>
    <t>Eligor's Resilience</t>
  </si>
  <si>
    <t>Gain a +3 enhancement bonus to natural armor.  Increases to +4 at 16th level, and +5 at 20th.</t>
  </si>
  <si>
    <t>Heavy Armor Proficiency</t>
  </si>
  <si>
    <t>Proficient with all heavy armor.</t>
  </si>
  <si>
    <t>Animal Friend</t>
  </si>
  <si>
    <t>Eurynome</t>
  </si>
  <si>
    <t>All animals automatically have an initial attitude of friendly toward the binder.</t>
  </si>
  <si>
    <t>Damage Reduction</t>
  </si>
  <si>
    <t>Gain damage reduction 2/lawful.</t>
  </si>
  <si>
    <t>Eurynome's Maul</t>
  </si>
  <si>
    <t>As a swift action, summon a large magic warhammer (2d6 damage, x3 crit) which you are proficient in and can wield one-handed without penalty.  Bonuses based on EBL (see table).</t>
  </si>
  <si>
    <t>Poison Blood</t>
  </si>
  <si>
    <t>Any creature making a successful bite attack or swallow whole against you must make a fort save or take 1d6 damage.  One minute later, another fort save or take 1d6 per 3 EBL, up to a maximum of 5d6.  Each bite attack made against the binder causes damage independent of all other poison.</t>
  </si>
  <si>
    <t>Water Dancing</t>
  </si>
  <si>
    <t>Able to walk on water as if it were firm ground.</t>
  </si>
  <si>
    <t>Acidic Gaze</t>
  </si>
  <si>
    <t>Geryon</t>
  </si>
  <si>
    <t>Gain a 30 ft. range gaze attack, deals 2d6 acid damage, will negates.  Able to choose not to affect specific creatures.</t>
  </si>
  <si>
    <t>32 Tome of Magic</t>
  </si>
  <si>
    <t>All-Around Vision</t>
  </si>
  <si>
    <t>Gain a +4 to spot and search checks, opponents gain no benefit from flanking, but cannot avert eyes from a creature with a gaze attack.</t>
  </si>
  <si>
    <t>See in Darkness</t>
  </si>
  <si>
    <t>Able to see in all forms of darkness including magical darkness.</t>
  </si>
  <si>
    <t>Swift Flight</t>
  </si>
  <si>
    <t>Fly for 1 round at a speed of 60 feet with perfect maneuverability as a swift action.  1/5 round ability.</t>
  </si>
  <si>
    <t>Inaccessible Mind</t>
  </si>
  <si>
    <t>Haures</t>
  </si>
  <si>
    <t>36 Tome of Magic</t>
  </si>
  <si>
    <t>Incorporeal Movement</t>
  </si>
  <si>
    <t>When moving, ignore all difficult terrain, and any attacks of opportunity have a 50% miss chance.</t>
  </si>
  <si>
    <t>Major Image</t>
  </si>
  <si>
    <t>Phantasmal Killer</t>
  </si>
  <si>
    <t>Cold Iron Claws</t>
  </si>
  <si>
    <t>Ipos</t>
  </si>
  <si>
    <t>Gain claw attacks that are considered cold iron for overcoming damage reduction, and apply full strength bonus to damage.  Base claw damage noted on table.  (1d6 medium).</t>
  </si>
  <si>
    <t>Flash of Insight</t>
  </si>
  <si>
    <t>Ipos's Influence</t>
  </si>
  <si>
    <t>Saving throw DCs for all vestige abilities increase by 1 where applicable.  EBL is treated as 1 level higher for the purposes of determining the effects of vestige abilities.</t>
  </si>
  <si>
    <t>Planar Attenuation</t>
  </si>
  <si>
    <t>Gain protection from natural effects of a particular plane.  Can change the attuned plane as a standard action.</t>
  </si>
  <si>
    <t>Rend</t>
  </si>
  <si>
    <t>When hitting an enemy with all claw attacks, automatically deal double damage on all of them.</t>
  </si>
  <si>
    <t>Death Attack</t>
  </si>
  <si>
    <t>Marchosias</t>
  </si>
  <si>
    <t>If a target is studied for 3 rounds then sneak attacked with a melee weapon that successfully deals damage, the attack can either paralyze or kill the target (binder's choice) if the target fails a fort save.  Paralysis lasts for 1d6+EBL rounds.</t>
  </si>
  <si>
    <t>Fiery Retribution</t>
  </si>
  <si>
    <t>Deal 3d6 extra damage to any opponent capable of dealing extra damage via sneak attack, sudden strike, or skirmish.</t>
  </si>
  <si>
    <t>Smoke Form</t>
  </si>
  <si>
    <t>Silent and Sure</t>
  </si>
  <si>
    <t>Gain a +16 competence bonus on Hide and Move Silently</t>
  </si>
  <si>
    <t>Air Blast</t>
  </si>
  <si>
    <t>Otiax</t>
  </si>
  <si>
    <t>Use air blast as a melee touch attack against both adjacent opponents and those within 10 ft. reach.  No strength bonus applicable, but can make multiple attacks if BAB allows, and can make attacks of opportunity with air blasts.</t>
  </si>
  <si>
    <t>43 Tome of Magic</t>
  </si>
  <si>
    <t>Combat Reflexes</t>
  </si>
  <si>
    <t>Gain the Combat Reflexes feat.</t>
  </si>
  <si>
    <t>Concealing Mist</t>
  </si>
  <si>
    <t>Mist surrounds the binder and grants a 20% miss chance from concealment.</t>
  </si>
  <si>
    <t>Open Portal</t>
  </si>
  <si>
    <t>Unlock</t>
  </si>
  <si>
    <t>As a full-round action, unlock any touched lock with a DC of twice EBL or lower.  1/5 round ability.</t>
  </si>
  <si>
    <t>Freedom of Movement</t>
  </si>
  <si>
    <t>Shax</t>
  </si>
  <si>
    <t>Immunity to Electricity</t>
  </si>
  <si>
    <t>Gain immunity to electricity damage.</t>
  </si>
  <si>
    <t>Storm Strike</t>
  </si>
  <si>
    <t>As a swift action, charge a melee attack or melee touch attack to deal 1d6 electrical and 1d6 sonic damage.  Charge is expended if attack misses.</t>
  </si>
  <si>
    <t>Swim Speed</t>
  </si>
  <si>
    <t>Gain a swim speed equal to land speed.</t>
  </si>
  <si>
    <r>
      <t xml:space="preserve">Opponent breaks into laughter as per </t>
    </r>
    <r>
      <rPr>
        <i/>
        <sz val="11"/>
        <color rgb="FF00B0F0"/>
        <rFont val="Calibri"/>
        <family val="2"/>
        <scheme val="minor"/>
      </rPr>
      <t>Tasha's uncontrollable hideous laughter</t>
    </r>
    <r>
      <rPr>
        <sz val="11"/>
        <color rgb="FF00B0F0"/>
        <rFont val="Calibri"/>
        <family val="2"/>
        <scheme val="minor"/>
      </rPr>
      <t xml:space="preserve"> spell, except creature can make an additional saving throw at the end of each round to break the effect.  1/5 round ability.</t>
    </r>
  </si>
  <si>
    <r>
      <t xml:space="preserve">Able to locate objects as per the </t>
    </r>
    <r>
      <rPr>
        <i/>
        <sz val="11"/>
        <color rgb="FF00B0F0"/>
        <rFont val="Calibri"/>
        <family val="2"/>
        <scheme val="minor"/>
      </rPr>
      <t>locate item</t>
    </r>
    <r>
      <rPr>
        <sz val="11"/>
        <color rgb="FF00B0F0"/>
        <rFont val="Calibri"/>
        <family val="2"/>
        <scheme val="minor"/>
      </rPr>
      <t xml:space="preserve"> spell.</t>
    </r>
  </si>
  <si>
    <r>
      <t xml:space="preserve">Able to cast </t>
    </r>
    <r>
      <rPr>
        <i/>
        <sz val="11"/>
        <color rgb="FF00B0F0"/>
        <rFont val="Calibri"/>
        <family val="2"/>
        <scheme val="minor"/>
      </rPr>
      <t>see invisibility</t>
    </r>
    <r>
      <rPr>
        <sz val="11"/>
        <color rgb="FF00B0F0"/>
        <rFont val="Calibri"/>
        <family val="2"/>
        <scheme val="minor"/>
      </rPr>
      <t xml:space="preserve"> at will.</t>
    </r>
  </si>
  <si>
    <r>
      <t xml:space="preserve">Detect magical auras at all times, concentrate for additional information similar to </t>
    </r>
    <r>
      <rPr>
        <i/>
        <sz val="11"/>
        <color rgb="FF00B0F0"/>
        <rFont val="Calibri"/>
        <family val="2"/>
        <scheme val="minor"/>
      </rPr>
      <t>detect magic</t>
    </r>
    <r>
      <rPr>
        <sz val="11"/>
        <color rgb="FF00B0F0"/>
        <rFont val="Calibri"/>
        <family val="2"/>
        <scheme val="minor"/>
      </rPr>
      <t>.</t>
    </r>
  </si>
  <si>
    <r>
      <t xml:space="preserve">Able to use a targeted </t>
    </r>
    <r>
      <rPr>
        <i/>
        <sz val="11"/>
        <color rgb="FF00B0F0"/>
        <rFont val="Calibri"/>
        <family val="2"/>
        <scheme val="minor"/>
      </rPr>
      <t>dispel magic</t>
    </r>
    <r>
      <rPr>
        <sz val="11"/>
        <color rgb="FF00B0F0"/>
        <rFont val="Calibri"/>
        <family val="2"/>
        <scheme val="minor"/>
      </rPr>
      <t xml:space="preserve"> by touch; does not effect free-standing spell effects.</t>
    </r>
  </si>
  <si>
    <r>
      <t xml:space="preserve">Able to cast </t>
    </r>
    <r>
      <rPr>
        <i/>
        <sz val="11"/>
        <color rgb="FF00B0F0"/>
        <rFont val="Calibri"/>
        <family val="2"/>
        <scheme val="minor"/>
      </rPr>
      <t>disguise self</t>
    </r>
    <r>
      <rPr>
        <sz val="11"/>
        <color rgb="FF00B0F0"/>
        <rFont val="Calibri"/>
        <family val="2"/>
        <scheme val="minor"/>
      </rPr>
      <t xml:space="preserve"> at will as a standard action.</t>
    </r>
  </si>
  <si>
    <r>
      <t xml:space="preserve">Make a verbal command, as per the </t>
    </r>
    <r>
      <rPr>
        <i/>
        <sz val="11"/>
        <color rgb="FF00B0F0"/>
        <rFont val="Calibri"/>
        <family val="2"/>
        <scheme val="minor"/>
      </rPr>
      <t>command</t>
    </r>
    <r>
      <rPr>
        <sz val="11"/>
        <color rgb="FF00B0F0"/>
        <rFont val="Calibri"/>
        <family val="2"/>
        <scheme val="minor"/>
      </rPr>
      <t xml:space="preserve"> spell.  1/5 round ability.</t>
    </r>
  </si>
  <si>
    <r>
      <t xml:space="preserve">Automatically fall as though under the effects of </t>
    </r>
    <r>
      <rPr>
        <i/>
        <sz val="11"/>
        <color rgb="FF00B0F0"/>
        <rFont val="Calibri"/>
        <family val="2"/>
        <scheme val="minor"/>
      </rPr>
      <t>feather fall</t>
    </r>
    <r>
      <rPr>
        <sz val="11"/>
        <color rgb="FF00B0F0"/>
        <rFont val="Calibri"/>
        <family val="2"/>
        <scheme val="minor"/>
      </rPr>
      <t>.</t>
    </r>
  </si>
  <si>
    <r>
      <t xml:space="preserve">Able to command a creature within 100 ft. as per the </t>
    </r>
    <r>
      <rPr>
        <i/>
        <sz val="11"/>
        <color rgb="FF00B0F0"/>
        <rFont val="Calibri"/>
        <family val="2"/>
        <scheme val="minor"/>
      </rPr>
      <t>command</t>
    </r>
    <r>
      <rPr>
        <sz val="11"/>
        <color rgb="FF00B0F0"/>
        <rFont val="Calibri"/>
        <family val="2"/>
        <scheme val="minor"/>
      </rPr>
      <t xml:space="preserve"> spell.  If the target fails their save, in addition to carrying out the command, they cannot percieve the binder via sight or sound for 1d4 rounds or until she attacks them.  1/5 round ability.</t>
    </r>
  </si>
  <si>
    <r>
      <t xml:space="preserve">Able to create an effect identical to </t>
    </r>
    <r>
      <rPr>
        <i/>
        <sz val="11"/>
        <color rgb="FF00B0F0"/>
        <rFont val="Calibri"/>
        <family val="2"/>
        <scheme val="minor"/>
      </rPr>
      <t>unholy blight</t>
    </r>
    <r>
      <rPr>
        <sz val="11"/>
        <color rgb="FF00B0F0"/>
        <rFont val="Calibri"/>
        <family val="2"/>
        <scheme val="minor"/>
      </rPr>
      <t xml:space="preserve"> as a touch attack.  1/5 round ability.</t>
    </r>
  </si>
  <si>
    <r>
      <t xml:space="preserve">As a standard action, become immune to all mind-affecting spells and spells that affect the soul.  If the binder dies while this ability is active, cannot be brought back to life via </t>
    </r>
    <r>
      <rPr>
        <i/>
        <sz val="11"/>
        <color rgb="FF00B0F0"/>
        <rFont val="Calibri"/>
        <family val="2"/>
        <scheme val="minor"/>
      </rPr>
      <t>raise dead</t>
    </r>
    <r>
      <rPr>
        <sz val="11"/>
        <color rgb="FF00B0F0"/>
        <rFont val="Calibri"/>
        <family val="2"/>
        <scheme val="minor"/>
      </rPr>
      <t xml:space="preserve"> or </t>
    </r>
    <r>
      <rPr>
        <i/>
        <sz val="11"/>
        <color rgb="FF00B0F0"/>
        <rFont val="Calibri"/>
        <family val="2"/>
        <scheme val="minor"/>
      </rPr>
      <t>resurrection.</t>
    </r>
  </si>
  <si>
    <r>
      <t xml:space="preserve">Able to use </t>
    </r>
    <r>
      <rPr>
        <i/>
        <sz val="11"/>
        <color rgb="FF00B0F0"/>
        <rFont val="Calibri"/>
        <family val="2"/>
        <scheme val="minor"/>
      </rPr>
      <t>detect undead</t>
    </r>
    <r>
      <rPr>
        <sz val="11"/>
        <color rgb="FF00B0F0"/>
        <rFont val="Calibri"/>
        <family val="2"/>
        <scheme val="minor"/>
      </rPr>
      <t xml:space="preserve"> at will with a caster level equal to effective binder level.</t>
    </r>
  </si>
  <si>
    <r>
      <t xml:space="preserve">Become undetectable to undead at-will as a standard action, as per </t>
    </r>
    <r>
      <rPr>
        <i/>
        <sz val="11"/>
        <color rgb="FF00B0F0"/>
        <rFont val="Calibri"/>
        <family val="2"/>
        <scheme val="minor"/>
      </rPr>
      <t>hide from undead.</t>
    </r>
    <r>
      <rPr>
        <sz val="11"/>
        <color rgb="FF00B0F0"/>
        <rFont val="Calibri"/>
        <family val="2"/>
        <scheme val="minor"/>
      </rPr>
      <t xml:space="preserve">  DC for intelligent undead to percieve the binder is the default for binder abilities.</t>
    </r>
  </si>
  <si>
    <r>
      <t xml:space="preserve">Able to question the dead at will as per </t>
    </r>
    <r>
      <rPr>
        <i/>
        <sz val="11"/>
        <color rgb="FF00B0F0"/>
        <rFont val="Calibri"/>
        <family val="2"/>
        <scheme val="minor"/>
      </rPr>
      <t>speak with dead.</t>
    </r>
    <r>
      <rPr>
        <sz val="11"/>
        <color rgb="FF00B0F0"/>
        <rFont val="Calibri"/>
        <family val="2"/>
        <scheme val="minor"/>
      </rPr>
      <t xml:space="preserve">  Caster level equal to EBL, standard save DC if a save applies.</t>
    </r>
  </si>
  <si>
    <r>
      <t xml:space="preserve">Melee attacks strike incorporeal creatures normally as a </t>
    </r>
    <r>
      <rPr>
        <i/>
        <sz val="11"/>
        <color rgb="FF00B0F0"/>
        <rFont val="Calibri"/>
        <family val="2"/>
        <scheme val="minor"/>
      </rPr>
      <t>ghost touch</t>
    </r>
    <r>
      <rPr>
        <sz val="11"/>
        <color rgb="FF00B0F0"/>
        <rFont val="Calibri"/>
        <family val="2"/>
        <scheme val="minor"/>
      </rPr>
      <t xml:space="preserve"> weapon.</t>
    </r>
  </si>
  <si>
    <r>
      <t xml:space="preserve">Can notice and locate all living creatures within 10 ft. as per blindsense, and can sense the strength and type of their life forces automatically, as per </t>
    </r>
    <r>
      <rPr>
        <i/>
        <sz val="11"/>
        <color rgb="FF00B0F0"/>
        <rFont val="Calibri"/>
        <family val="2"/>
        <scheme val="minor"/>
      </rPr>
      <t>deathwatch.</t>
    </r>
  </si>
  <si>
    <r>
      <t xml:space="preserve">Protected from all attempts to detect, influence, or read emotions and thoughts, and immunity to mind-affecting as per </t>
    </r>
    <r>
      <rPr>
        <i/>
        <sz val="11"/>
        <color rgb="FF00B0F0"/>
        <rFont val="Calibri"/>
        <family val="2"/>
        <scheme val="minor"/>
      </rPr>
      <t>mind blank.</t>
    </r>
  </si>
  <si>
    <r>
      <t xml:space="preserve">Able to use </t>
    </r>
    <r>
      <rPr>
        <i/>
        <sz val="11"/>
        <color rgb="FF00B0F0"/>
        <rFont val="Calibri"/>
        <family val="2"/>
        <scheme val="minor"/>
      </rPr>
      <t>major image</t>
    </r>
    <r>
      <rPr>
        <sz val="11"/>
        <color rgb="FF00B0F0"/>
        <rFont val="Calibri"/>
        <family val="2"/>
        <scheme val="minor"/>
      </rPr>
      <t xml:space="preserve"> as a supernatural ability, caster level equals EBL, standard vestige saving throw DC, cannot create more than one at a time.  1/5 round ability.</t>
    </r>
  </si>
  <si>
    <r>
      <t xml:space="preserve">Able to use </t>
    </r>
    <r>
      <rPr>
        <i/>
        <sz val="11"/>
        <color rgb="FF00B0F0"/>
        <rFont val="Calibri"/>
        <family val="2"/>
        <scheme val="minor"/>
      </rPr>
      <t>phantasmal killer</t>
    </r>
    <r>
      <rPr>
        <sz val="11"/>
        <color rgb="FF00B0F0"/>
        <rFont val="Calibri"/>
        <family val="2"/>
        <scheme val="minor"/>
      </rPr>
      <t xml:space="preserve"> as a supernatural ability, standard vestige saving throw DC on both saves, range 10 ft. per EBL.  1/5 round ability.</t>
    </r>
  </si>
  <si>
    <r>
      <t xml:space="preserve">As a swift action, gain a </t>
    </r>
    <r>
      <rPr>
        <i/>
        <sz val="11"/>
        <color rgb="FF00B0F0"/>
        <rFont val="Calibri"/>
        <family val="2"/>
        <scheme val="minor"/>
      </rPr>
      <t>true seeing</t>
    </r>
    <r>
      <rPr>
        <sz val="11"/>
        <color rgb="FF00B0F0"/>
        <rFont val="Calibri"/>
        <family val="2"/>
        <scheme val="minor"/>
      </rPr>
      <t xml:space="preserve"> effect for 1 round.</t>
    </r>
  </si>
  <si>
    <r>
      <t xml:space="preserve">Assume the form of a smoke cloud as per </t>
    </r>
    <r>
      <rPr>
        <i/>
        <sz val="11"/>
        <color rgb="FF00B0F0"/>
        <rFont val="Calibri"/>
        <family val="2"/>
        <scheme val="minor"/>
      </rPr>
      <t>gaseous form</t>
    </r>
    <r>
      <rPr>
        <sz val="11"/>
        <color rgb="FF00B0F0"/>
        <rFont val="Calibri"/>
        <family val="2"/>
        <scheme val="minor"/>
      </rPr>
      <t xml:space="preserve"> for unlimited duration.  Lose supernatural abilities while thus transformed.  Standard action to change forms.  1/5 round ability, starting the count when reverting to solid form.</t>
    </r>
  </si>
  <si>
    <r>
      <t xml:space="preserve">As a swift action, can open (but not close) things as per the </t>
    </r>
    <r>
      <rPr>
        <i/>
        <sz val="11"/>
        <color rgb="FF00B0F0"/>
        <rFont val="Calibri"/>
        <family val="2"/>
        <scheme val="minor"/>
      </rPr>
      <t>open/close</t>
    </r>
    <r>
      <rPr>
        <sz val="11"/>
        <color rgb="FF00B0F0"/>
        <rFont val="Calibri"/>
        <family val="2"/>
        <scheme val="minor"/>
      </rPr>
      <t xml:space="preserve"> spell.  Range of 10 ft. per EBL.</t>
    </r>
  </si>
  <si>
    <r>
      <t xml:space="preserve">As a swift action, gain </t>
    </r>
    <r>
      <rPr>
        <i/>
        <sz val="11"/>
        <color rgb="FF00B0F0"/>
        <rFont val="Calibri"/>
        <family val="2"/>
        <scheme val="minor"/>
      </rPr>
      <t>freedom of movement</t>
    </r>
    <r>
      <rPr>
        <sz val="11"/>
        <color rgb="FF00B0F0"/>
        <rFont val="Calibri"/>
        <family val="2"/>
        <scheme val="minor"/>
      </rPr>
      <t xml:space="preserve"> for one round.  1/5 round ability.</t>
    </r>
  </si>
  <si>
    <t>Arete</t>
  </si>
  <si>
    <t>Psionic Boon</t>
  </si>
  <si>
    <t>Gain 13 power points.</t>
  </si>
  <si>
    <t>The Mind's Eye</t>
  </si>
  <si>
    <t>Resistance</t>
  </si>
  <si>
    <t>Gain a +4 resistance bonus to one chosen saving throw.  Can change which saving throw as a move action.</t>
  </si>
  <si>
    <t>Gain damage reduction 5/-.</t>
  </si>
  <si>
    <t>Repletion</t>
  </si>
  <si>
    <r>
      <t xml:space="preserve">Gain the psionic powers </t>
    </r>
    <r>
      <rPr>
        <i/>
        <sz val="11"/>
        <color rgb="FF00B0F0"/>
        <rFont val="Calibri"/>
        <family val="2"/>
        <scheme val="minor"/>
      </rPr>
      <t>body adjustment, body purification,</t>
    </r>
    <r>
      <rPr>
        <sz val="11"/>
        <color rgb="FF00B0F0"/>
        <rFont val="Calibri"/>
        <family val="2"/>
        <scheme val="minor"/>
      </rPr>
      <t xml:space="preserve"> and </t>
    </r>
    <r>
      <rPr>
        <i/>
        <sz val="11"/>
        <color rgb="FF00B0F0"/>
        <rFont val="Calibri"/>
        <family val="2"/>
        <scheme val="minor"/>
      </rPr>
      <t>sustenance.</t>
    </r>
  </si>
  <si>
    <t>Angelic Lore</t>
  </si>
  <si>
    <t>Astaroth (CS)</t>
  </si>
  <si>
    <t>Gain bardic knowledge based on effective binder level.</t>
  </si>
  <si>
    <t>Cityscape WE</t>
  </si>
  <si>
    <t>Astaroth's Breath</t>
  </si>
  <si>
    <t>Gain 60 ft. cone breath weapon.  Fort save or be nauseated for 1 round and sickened for 1d4; on a successful save, merely sickened for 1 round.</t>
  </si>
  <si>
    <t>Honeyed Tongue</t>
  </si>
  <si>
    <t>Gain a +4 competence bonus on Bluff, Diplomacy, and Intimidate checks.</t>
  </si>
  <si>
    <t>Master Craftsman</t>
  </si>
  <si>
    <t>Gain a +4 competence bonus on all Craft checks, plus gain one item creation feat as a temporary bonus feat.</t>
  </si>
  <si>
    <t>Word of Astaroth</t>
  </si>
  <si>
    <r>
      <t xml:space="preserve">Can cast </t>
    </r>
    <r>
      <rPr>
        <i/>
        <sz val="11"/>
        <color rgb="FF00B0F0"/>
        <rFont val="Calibri"/>
        <family val="2"/>
        <scheme val="minor"/>
      </rPr>
      <t>suggestion</t>
    </r>
    <r>
      <rPr>
        <sz val="11"/>
        <color rgb="FF00B0F0"/>
        <rFont val="Calibri"/>
        <family val="2"/>
        <scheme val="minor"/>
      </rPr>
      <t xml:space="preserve"> with an effective caster level equal to binder level.</t>
    </r>
  </si>
  <si>
    <t>Astaroth (Dr)</t>
  </si>
  <si>
    <t>Blackflame</t>
  </si>
  <si>
    <r>
      <t xml:space="preserve">All abilities with the fire descriptor deal half vile damage.  Gain the ability to cast </t>
    </r>
    <r>
      <rPr>
        <i/>
        <sz val="11"/>
        <color rgb="FF00B0F0"/>
        <rFont val="Calibri"/>
        <family val="2"/>
        <scheme val="minor"/>
      </rPr>
      <t>fireball</t>
    </r>
    <r>
      <rPr>
        <sz val="11"/>
        <color rgb="FF00B0F0"/>
        <rFont val="Calibri"/>
        <family val="2"/>
        <scheme val="minor"/>
      </rPr>
      <t xml:space="preserve"> 3/day.</t>
    </r>
  </si>
  <si>
    <t>68 Dragon #357</t>
  </si>
  <si>
    <t>Divination</t>
  </si>
  <si>
    <r>
      <t xml:space="preserve">Can cast </t>
    </r>
    <r>
      <rPr>
        <i/>
        <sz val="11"/>
        <color rgb="FF00B0F0"/>
        <rFont val="Calibri"/>
        <family val="2"/>
        <scheme val="minor"/>
      </rPr>
      <t>divination</t>
    </r>
    <r>
      <rPr>
        <sz val="11"/>
        <color rgb="FF00B0F0"/>
        <rFont val="Calibri"/>
        <family val="2"/>
        <scheme val="minor"/>
      </rPr>
      <t xml:space="preserve"> at will.</t>
    </r>
  </si>
  <si>
    <t>Serpentine Tongue</t>
  </si>
  <si>
    <t>Silvered Touch</t>
  </si>
  <si>
    <t>All natural attacks or attacks with a metal weapon are treated as though they were silver.</t>
  </si>
  <si>
    <t>Arcane Eye</t>
  </si>
  <si>
    <t>Cabiri</t>
  </si>
  <si>
    <r>
      <t xml:space="preserve">Able to create a single </t>
    </r>
    <r>
      <rPr>
        <i/>
        <sz val="11"/>
        <color rgb="FF00B0F0"/>
        <rFont val="Calibri"/>
        <family val="2"/>
        <scheme val="minor"/>
      </rPr>
      <t>arcane eye</t>
    </r>
    <r>
      <rPr>
        <sz val="11"/>
        <color rgb="FF00B0F0"/>
        <rFont val="Calibri"/>
        <family val="2"/>
        <scheme val="minor"/>
      </rPr>
      <t xml:space="preserve"> as the spell, with a caster level equal to EBL.  Only one eye at a time is possible.  1/5 rounds.</t>
    </r>
  </si>
  <si>
    <t>69 Dragon #357</t>
  </si>
  <si>
    <t>Far-Seeing Gaze</t>
  </si>
  <si>
    <t>Spells and spell-like abilities of the scrying subschool gain a +10 bonus to their save DCs.</t>
  </si>
  <si>
    <t>Seer in Darkness</t>
  </si>
  <si>
    <t>Gain 60 ft. Darkvision and low-light vision.  If already have darkvision, gain +60 ft. range.</t>
  </si>
  <si>
    <t>Visions of Terror</t>
  </si>
  <si>
    <r>
      <t xml:space="preserve">Able to cast </t>
    </r>
    <r>
      <rPr>
        <i/>
        <sz val="11"/>
        <color rgb="FF00B0F0"/>
        <rFont val="Calibri"/>
        <family val="2"/>
        <scheme val="minor"/>
      </rPr>
      <t>phantasmal killer</t>
    </r>
    <r>
      <rPr>
        <sz val="11"/>
        <color rgb="FF00B0F0"/>
        <rFont val="Calibri"/>
        <family val="2"/>
        <scheme val="minor"/>
      </rPr>
      <t xml:space="preserve"> as the spell, caster level equal to EBL, 3/day.</t>
    </r>
  </si>
  <si>
    <t>Blinding Strike</t>
  </si>
  <si>
    <t>Kas</t>
  </si>
  <si>
    <t>71 Dragon #341</t>
  </si>
  <si>
    <t>Bluff Bonus</t>
  </si>
  <si>
    <t>Gain a +4 competence bonus on Bluff checks.</t>
  </si>
  <si>
    <t>Kas's Protection</t>
  </si>
  <si>
    <t>All sneak attacks and critical hits by undead are automatically negated.  All other critical hits have a 25% chance of being negated.</t>
  </si>
  <si>
    <t>Undead Reaper</t>
  </si>
  <si>
    <t>Ignore all damage reduction on undead when striking them with melee or ranged attacks.</t>
  </si>
  <si>
    <t>Proficient with the Bastard Sword, Longsword, and Short Sword.</t>
  </si>
  <si>
    <t>Deeper Darkness</t>
  </si>
  <si>
    <t>Tenebrous</t>
  </si>
  <si>
    <r>
      <t xml:space="preserve">Can create a </t>
    </r>
    <r>
      <rPr>
        <i/>
        <sz val="11"/>
        <color rgb="FF00B0F0"/>
        <rFont val="Calibri"/>
        <family val="2"/>
        <scheme val="minor"/>
      </rPr>
      <t>deeper darkness</t>
    </r>
    <r>
      <rPr>
        <sz val="11"/>
        <color rgb="FF00B0F0"/>
        <rFont val="Calibri"/>
        <family val="2"/>
        <scheme val="minor"/>
      </rPr>
      <t xml:space="preserve"> effect centered on self with unlimited duration.</t>
    </r>
  </si>
  <si>
    <t>48 Tome of Magic</t>
  </si>
  <si>
    <t>Able to see perfectly through any darkness, even magical darkness.</t>
  </si>
  <si>
    <t>Touch of the Void</t>
  </si>
  <si>
    <t>Turn/Rebuke Undead</t>
  </si>
  <si>
    <t>Able to turn or rebuke undead as a cleric of EBL.  1/5 rounds.</t>
  </si>
  <si>
    <t>Vessel of Emptiness</t>
  </si>
  <si>
    <t>City-Dweller</t>
  </si>
  <si>
    <t>Desharis</t>
  </si>
  <si>
    <t>Gain +6 competence bonus on Gather Information and Knowledge(Local), and can move at normal rate when moving through a crowd.</t>
  </si>
  <si>
    <t>Infinite Doors</t>
  </si>
  <si>
    <t>Can pass through an exterior doorway and reappear at another one within 3,000 meters once per day.  Both buildings must be made of similar materials (wood to wood, stone to stone, etc.).</t>
  </si>
  <si>
    <t>Language of the City</t>
  </si>
  <si>
    <r>
      <t xml:space="preserve">Can speak with any humanoid, as the </t>
    </r>
    <r>
      <rPr>
        <i/>
        <sz val="11"/>
        <color rgb="FF00B0F0"/>
        <rFont val="Calibri"/>
        <family val="2"/>
        <scheme val="minor"/>
      </rPr>
      <t>tongues</t>
    </r>
    <r>
      <rPr>
        <sz val="11"/>
        <color rgb="FF00B0F0"/>
        <rFont val="Calibri"/>
        <family val="2"/>
        <scheme val="minor"/>
      </rPr>
      <t xml:space="preserve"> spell.</t>
    </r>
  </si>
  <si>
    <t>Smite Natural Soul</t>
  </si>
  <si>
    <t>Spirits of the City</t>
  </si>
  <si>
    <r>
      <t xml:space="preserve">Able to </t>
    </r>
    <r>
      <rPr>
        <i/>
        <sz val="11"/>
        <color rgb="FF00B0F0"/>
        <rFont val="Calibri"/>
        <family val="2"/>
        <scheme val="minor"/>
      </rPr>
      <t>animate objects</t>
    </r>
    <r>
      <rPr>
        <sz val="11"/>
        <color rgb="FF00B0F0"/>
        <rFont val="Calibri"/>
        <family val="2"/>
        <scheme val="minor"/>
      </rPr>
      <t xml:space="preserve"> as the spell, caster level equal to EBL.  Must wait 5 rounds after effect has expired or all objects destroyed before using again.</t>
    </r>
  </si>
  <si>
    <t>The Triad</t>
  </si>
  <si>
    <t>Gain 15 power points.</t>
  </si>
  <si>
    <t>Call to Mind</t>
  </si>
  <si>
    <r>
      <t xml:space="preserve">Can use the psionic power </t>
    </r>
    <r>
      <rPr>
        <i/>
        <sz val="11"/>
        <color rgb="FF00B0F0"/>
        <rFont val="Calibri"/>
        <family val="2"/>
        <scheme val="minor"/>
      </rPr>
      <t>call to mind</t>
    </r>
    <r>
      <rPr>
        <sz val="11"/>
        <color rgb="FF00B0F0"/>
        <rFont val="Calibri"/>
        <family val="2"/>
        <scheme val="minor"/>
      </rPr>
      <t>.</t>
    </r>
  </si>
  <si>
    <t>Psicraft Bonus</t>
  </si>
  <si>
    <t>Bardic Knowledge</t>
  </si>
  <si>
    <t>Gain bardic knowledge based on EBL.</t>
  </si>
  <si>
    <t>Empathy</t>
  </si>
  <si>
    <r>
      <t xml:space="preserve">Gain the psionic power </t>
    </r>
    <r>
      <rPr>
        <i/>
        <sz val="11"/>
        <color rgb="FF00B0F0"/>
        <rFont val="Calibri"/>
        <family val="2"/>
        <scheme val="minor"/>
      </rPr>
      <t>empathy</t>
    </r>
    <r>
      <rPr>
        <sz val="11"/>
        <color rgb="FF00B0F0"/>
        <rFont val="Calibri"/>
        <family val="2"/>
        <scheme val="minor"/>
      </rPr>
      <t>.</t>
    </r>
  </si>
  <si>
    <t>Diplomacy Bonus</t>
  </si>
  <si>
    <t>Gain a +5 untyped bonus to Diplomacy checks.</t>
  </si>
  <si>
    <t>Gain a +5 untyped bonus on Psicraft checks, and make Psicraft checks as if trained.</t>
  </si>
  <si>
    <t>Smite Evil</t>
  </si>
  <si>
    <t>Detect Hostile Intent</t>
  </si>
  <si>
    <r>
      <t xml:space="preserve">Gain the psionic power </t>
    </r>
    <r>
      <rPr>
        <i/>
        <sz val="11"/>
        <color rgb="FF00B0F0"/>
        <rFont val="Calibri"/>
        <family val="2"/>
        <scheme val="minor"/>
      </rPr>
      <t>detect hostile intent</t>
    </r>
    <r>
      <rPr>
        <sz val="11"/>
        <color rgb="FF00B0F0"/>
        <rFont val="Calibri"/>
        <family val="2"/>
        <scheme val="minor"/>
      </rPr>
      <t>.</t>
    </r>
  </si>
  <si>
    <t>Sense Motive Bonus</t>
  </si>
  <si>
    <t>Gain a +5 untyped bonus to Sense Motive checks.</t>
  </si>
  <si>
    <t>Gain proficiency in all simple, martial, and exotic weapons.</t>
  </si>
  <si>
    <t>Fear Aura</t>
  </si>
  <si>
    <t>Vanus</t>
  </si>
  <si>
    <t>Free Ally</t>
  </si>
  <si>
    <t>Noble Disdain</t>
  </si>
  <si>
    <t>When attacking a creature with lower HD than the binder with a ranged or melee weapon, gain +1d6 damage.</t>
  </si>
  <si>
    <t>Vanus's Ears</t>
  </si>
  <si>
    <t>Gain a +5 untyped bonus to Listen checks, increases to +10 if the creature making the sound is evil.</t>
  </si>
  <si>
    <t>Aversion</t>
  </si>
  <si>
    <t>Zagan</t>
  </si>
  <si>
    <t>49 Tome of Magic</t>
  </si>
  <si>
    <t>Improved Grapple</t>
  </si>
  <si>
    <t>Gain the benefits of the Improved Grapple feat.  Also, be considered Large for the purposes of grapple checks, and grapple damage is considered lethal</t>
  </si>
  <si>
    <t>Scent</t>
  </si>
  <si>
    <t>Gain the scent special quality.</t>
  </si>
  <si>
    <t>Constrict</t>
  </si>
  <si>
    <t>Snake Bane</t>
  </si>
  <si>
    <t>Gain a +2 bonus on melee attacks against snakes, snakelike creatures, and creatures with a natural poison attack, and deal +2d6 damage vs. such foes when making melee attacks or grapple checks to deal damage.</t>
  </si>
  <si>
    <t>Alien Form</t>
  </si>
  <si>
    <t>Zceryll</t>
  </si>
  <si>
    <t>Gain the pseudonatural template.</t>
  </si>
  <si>
    <t>Class Chronicles</t>
  </si>
  <si>
    <t>Alien Mind</t>
  </si>
  <si>
    <t>Bolts of Madness</t>
  </si>
  <si>
    <t>Summon Alien</t>
  </si>
  <si>
    <r>
      <t xml:space="preserve">Able to summon any creature that a sorcerer of EBL could summon with </t>
    </r>
    <r>
      <rPr>
        <i/>
        <sz val="11"/>
        <color rgb="FF00B0F0"/>
        <rFont val="Calibri"/>
        <family val="2"/>
        <scheme val="minor"/>
      </rPr>
      <t xml:space="preserve">summon monster; </t>
    </r>
    <r>
      <rPr>
        <sz val="11"/>
        <color rgb="FF00B0F0"/>
        <rFont val="Calibri"/>
        <family val="2"/>
        <scheme val="minor"/>
      </rPr>
      <t>all summoned creatures have the pseudonatural template applied.  1/5 rounds.</t>
    </r>
  </si>
  <si>
    <t>Telepathy</t>
  </si>
  <si>
    <t>Gain the telepathy special ability with a range of 100 ft, and the Mindsight feat.</t>
  </si>
  <si>
    <t>Blasphemy</t>
  </si>
  <si>
    <t>Ansitif</t>
  </si>
  <si>
    <r>
      <t xml:space="preserve">Can use </t>
    </r>
    <r>
      <rPr>
        <i/>
        <sz val="11"/>
        <color rgb="FF00B0F0"/>
        <rFont val="Calibri"/>
        <family val="2"/>
        <scheme val="minor"/>
      </rPr>
      <t>blasphemy</t>
    </r>
    <r>
      <rPr>
        <sz val="11"/>
        <color rgb="FF00B0F0"/>
        <rFont val="Calibri"/>
        <family val="2"/>
        <scheme val="minor"/>
      </rPr>
      <t xml:space="preserve"> three times per day, caster level equal to EBL.</t>
    </r>
  </si>
  <si>
    <t>67 Dragon #357</t>
  </si>
  <si>
    <t>Divine Resistance</t>
  </si>
  <si>
    <t>Fire Immunity</t>
  </si>
  <si>
    <t>Gain immunity to fire damage.</t>
  </si>
  <si>
    <t>Thrall to Demon</t>
  </si>
  <si>
    <t>Gain the benefits of the Thrall to Demon feat.</t>
  </si>
  <si>
    <t>Abysm</t>
  </si>
  <si>
    <t>Gain 21 power points.</t>
  </si>
  <si>
    <t>Overpower</t>
  </si>
  <si>
    <r>
      <t xml:space="preserve">Gain the psionic powers </t>
    </r>
    <r>
      <rPr>
        <i/>
        <sz val="11"/>
        <color rgb="FF00B0F0"/>
        <rFont val="Calibri"/>
        <family val="2"/>
        <scheme val="minor"/>
      </rPr>
      <t xml:space="preserve">read thoughts, animal affinity, energy missile, psionic levitate, clairvoyant sense, </t>
    </r>
    <r>
      <rPr>
        <sz val="11"/>
        <color rgb="FF00B0F0"/>
        <rFont val="Calibri"/>
        <family val="2"/>
        <scheme val="minor"/>
      </rPr>
      <t xml:space="preserve">and </t>
    </r>
    <r>
      <rPr>
        <i/>
        <sz val="11"/>
        <color rgb="FF00B0F0"/>
        <rFont val="Calibri"/>
        <family val="2"/>
        <scheme val="minor"/>
      </rPr>
      <t>astral construct.</t>
    </r>
  </si>
  <si>
    <t>Ashardalon's Greed</t>
  </si>
  <si>
    <t>Ashardalon</t>
  </si>
  <si>
    <t>85 Dragon Magic</t>
  </si>
  <si>
    <t>Ashardalon's Presence</t>
  </si>
  <si>
    <r>
      <t xml:space="preserve">Can cast a </t>
    </r>
    <r>
      <rPr>
        <i/>
        <sz val="11"/>
        <color rgb="FF00B0F0"/>
        <rFont val="Calibri"/>
        <family val="2"/>
        <scheme val="minor"/>
      </rPr>
      <t>fear</t>
    </r>
    <r>
      <rPr>
        <sz val="11"/>
        <color rgb="FF00B0F0"/>
        <rFont val="Calibri"/>
        <family val="2"/>
        <scheme val="minor"/>
      </rPr>
      <t xml:space="preserve"> spell, but creatures immune to a dragon's frightful presence are immune.  1/5 rounds.</t>
    </r>
  </si>
  <si>
    <t>Ashardalon's Vigor</t>
  </si>
  <si>
    <t>Fiend's Heart</t>
  </si>
  <si>
    <t>Gain damage reduction 10/cold iron and fire resistance 30.</t>
  </si>
  <si>
    <t>Halphax</t>
  </si>
  <si>
    <t>Gain damage reduction 10/adamantine.</t>
  </si>
  <si>
    <t>35 Tome of Magic</t>
  </si>
  <si>
    <t>Halphax's Knowledge</t>
  </si>
  <si>
    <t>Able to use the Profession (Siege Engineer) and Knowledge (Architecture and Engineering) skills untrained, and gain a +16 competence bonus to them.</t>
  </si>
  <si>
    <t>Imprison</t>
  </si>
  <si>
    <r>
      <t xml:space="preserve">Can imprison a foe as per the </t>
    </r>
    <r>
      <rPr>
        <i/>
        <sz val="11"/>
        <color rgb="FF00B0F0"/>
        <rFont val="Calibri"/>
        <family val="2"/>
        <scheme val="minor"/>
      </rPr>
      <t>imprison</t>
    </r>
    <r>
      <rPr>
        <sz val="11"/>
        <color rgb="FF00B0F0"/>
        <rFont val="Calibri"/>
        <family val="2"/>
        <scheme val="minor"/>
      </rPr>
      <t xml:space="preserve"> spell, but only for rounds equal to EBL.  Must make a touch attack to succeed, and target gets a Fortitude saving throw.  If saving throw succeeds, cannot use the ability for another 1d4 rounds.  Only one creature may be imprisoned at a time.</t>
    </r>
  </si>
  <si>
    <t>Iron Wall</t>
  </si>
  <si>
    <r>
      <t xml:space="preserve">Able to cast </t>
    </r>
    <r>
      <rPr>
        <i/>
        <sz val="11"/>
        <color rgb="FF00B0F0"/>
        <rFont val="Calibri"/>
        <family val="2"/>
        <scheme val="minor"/>
      </rPr>
      <t xml:space="preserve">wall of iron, </t>
    </r>
    <r>
      <rPr>
        <sz val="11"/>
        <color rgb="FF00B0F0"/>
        <rFont val="Calibri"/>
        <family val="2"/>
        <scheme val="minor"/>
      </rPr>
      <t>except the wall disappears after 1 minute.  1/5 rounds.</t>
    </r>
  </si>
  <si>
    <t>Secure Shelter</t>
  </si>
  <si>
    <r>
      <t xml:space="preserve">Summon or dismiss a sturdy stone building, equivalent to </t>
    </r>
    <r>
      <rPr>
        <i/>
        <sz val="11"/>
        <color rgb="FF00B0F0"/>
        <rFont val="Calibri"/>
        <family val="2"/>
        <scheme val="minor"/>
      </rPr>
      <t xml:space="preserve">Leomund's secure shelter.  </t>
    </r>
    <r>
      <rPr>
        <sz val="11"/>
        <color rgb="FF00B0F0"/>
        <rFont val="Calibri"/>
        <family val="2"/>
        <scheme val="minor"/>
      </rPr>
      <t>Can only have one such building in existence at a time, takes 5 rounds after dismissing to summon a new one.</t>
    </r>
  </si>
  <si>
    <t>Orthos</t>
  </si>
  <si>
    <t>Gain blindsight out to 30 feet.</t>
  </si>
  <si>
    <t>Displacement</t>
  </si>
  <si>
    <r>
      <t>Gain a 50% miss chance</t>
    </r>
    <r>
      <rPr>
        <sz val="11"/>
        <color rgb="FF00B0F0"/>
        <rFont val="Calibri"/>
        <family val="2"/>
        <scheme val="minor"/>
      </rPr>
      <t xml:space="preserve">.  </t>
    </r>
    <r>
      <rPr>
        <i/>
        <sz val="11"/>
        <color rgb="FF00B0F0"/>
        <rFont val="Calibri"/>
        <family val="2"/>
        <scheme val="minor"/>
      </rPr>
      <t>True seeing</t>
    </r>
    <r>
      <rPr>
        <sz val="11"/>
        <color rgb="FF00B0F0"/>
        <rFont val="Calibri"/>
        <family val="2"/>
        <scheme val="minor"/>
      </rPr>
      <t xml:space="preserve"> can negate this.</t>
    </r>
  </si>
  <si>
    <t>Whirlwind Breath</t>
  </si>
  <si>
    <t>Whispering Wind</t>
  </si>
  <si>
    <r>
      <t xml:space="preserve">Able to send a message on the wind as per the </t>
    </r>
    <r>
      <rPr>
        <i/>
        <sz val="11"/>
        <color rgb="FF00B0F0"/>
        <rFont val="Calibri"/>
        <family val="2"/>
        <scheme val="minor"/>
      </rPr>
      <t>whispering wind</t>
    </r>
    <r>
      <rPr>
        <sz val="11"/>
        <color rgb="FF00B0F0"/>
        <rFont val="Calibri"/>
        <family val="2"/>
        <scheme val="minor"/>
      </rPr>
      <t xml:space="preserve"> spell at will.  Caster level equal to EBL.</t>
    </r>
  </si>
  <si>
    <t>Pact Augmentation:</t>
  </si>
  <si>
    <t>Binding Check:</t>
  </si>
  <si>
    <t>Total Level:</t>
  </si>
  <si>
    <t>Able to summon an earth elemental (size based on EBL) to accompany and fight for you.  If the earth elemental is lost to dissolution or destruction, cannot be summoned again for 1 hour.</t>
  </si>
  <si>
    <t>Components</t>
  </si>
  <si>
    <t>Casting Time</t>
  </si>
  <si>
    <t>Range</t>
  </si>
  <si>
    <t>Psionic Powers</t>
  </si>
  <si>
    <t>Manifester Level:</t>
  </si>
  <si>
    <t>Known Powers:</t>
  </si>
  <si>
    <t>Display</t>
  </si>
  <si>
    <t>Martial Maneuvers</t>
  </si>
  <si>
    <t>Initiator Level:</t>
  </si>
  <si>
    <t>Readied Maneuvers:</t>
  </si>
  <si>
    <t>Maneuver</t>
  </si>
  <si>
    <t>Known Stances:</t>
  </si>
  <si>
    <t>Stance</t>
  </si>
  <si>
    <t>Initiation Action</t>
  </si>
  <si>
    <t>Known Maneuvers:</t>
  </si>
  <si>
    <t>Artificer Detailed Inventory</t>
  </si>
  <si>
    <t>Craft Reserve:</t>
  </si>
  <si>
    <t>Scrolls:</t>
  </si>
  <si>
    <t>S-Level</t>
  </si>
  <si>
    <t>C-Level</t>
  </si>
  <si>
    <t>Quantity</t>
  </si>
  <si>
    <t>Base Cost</t>
  </si>
  <si>
    <t>Cost</t>
  </si>
  <si>
    <t>XP Cost</t>
  </si>
  <si>
    <t>Level Created</t>
  </si>
  <si>
    <t>Description</t>
  </si>
  <si>
    <t>Wands:</t>
  </si>
  <si>
    <t>Charges</t>
  </si>
  <si>
    <t>Items:</t>
  </si>
  <si>
    <t>Class A</t>
  </si>
  <si>
    <t>1</t>
  </si>
  <si>
    <t>Racial Bonus</t>
  </si>
  <si>
    <t>Profession (Astrologer)</t>
  </si>
  <si>
    <t>Total SP</t>
  </si>
  <si>
    <t>Belt of Many Pockets:</t>
  </si>
  <si>
    <t>Available</t>
  </si>
  <si>
    <t>Spells Known:</t>
  </si>
  <si>
    <t>Mark XIV Character Record Sheet: D&amp;D 3.5 Edition</t>
  </si>
  <si>
    <t>Occupied</t>
  </si>
  <si>
    <t>Empty</t>
  </si>
  <si>
    <t>Spells Memorized:</t>
  </si>
  <si>
    <t>Spellbook / Commonly Used Spells:</t>
  </si>
  <si>
    <t>Prepared Spells</t>
  </si>
  <si>
    <t>Spontaneous Spells</t>
  </si>
  <si>
    <t>Akelha Xa'vius</t>
  </si>
  <si>
    <t>Dark Elf</t>
  </si>
  <si>
    <t>Outsider (Extraplanar)</t>
  </si>
  <si>
    <t>Neutral Evil</t>
  </si>
  <si>
    <t>Barbarian</t>
  </si>
  <si>
    <t>1d12</t>
  </si>
  <si>
    <t>Master of Many Forms</t>
  </si>
  <si>
    <t>1d8</t>
  </si>
  <si>
    <t>Lolth-Touched</t>
  </si>
  <si>
    <t>Strength and Constitution +6 (Racial), Hide and Move Silently +4 racial bonus, fearless.</t>
  </si>
  <si>
    <t>92 Monster Manual V</t>
  </si>
  <si>
    <t>Fearless (Ex)</t>
  </si>
  <si>
    <t>Immune to all fear effects.</t>
  </si>
  <si>
    <t>Divine Minion of Lolth</t>
  </si>
  <si>
    <t>Outsider type, fast wild shape, fear immunity.</t>
  </si>
  <si>
    <t>Hate of the Cobra</t>
  </si>
  <si>
    <t>Fast Wild Shape (Su)</t>
  </si>
  <si>
    <t>Able to wild shape at will, as a free action, as an 11th level druid, even in metal armor.  Monstrous spider forms only.</t>
  </si>
  <si>
    <t>Fear Immunity (Su)</t>
  </si>
  <si>
    <t>Bonus Human Feat</t>
  </si>
  <si>
    <t>Bonus Feat at 1st Level.</t>
  </si>
  <si>
    <t>13 PHB</t>
  </si>
  <si>
    <t>Bonus Human Skills</t>
  </si>
  <si>
    <t>+1 skill point at each level (x4 at 1st level).</t>
  </si>
  <si>
    <t>Outsider Darkvision</t>
  </si>
  <si>
    <t>Darkvision, 60 ft.</t>
  </si>
  <si>
    <t>313 Monster Manual</t>
  </si>
  <si>
    <t>Outsider Single Nature</t>
  </si>
  <si>
    <r>
      <t xml:space="preserve">Can only be resurrected with </t>
    </r>
    <r>
      <rPr>
        <i/>
        <sz val="11"/>
        <color rgb="FF00B0F0"/>
        <rFont val="Calibri"/>
        <family val="2"/>
        <scheme val="minor"/>
      </rPr>
      <t xml:space="preserve">limited wish, wish, miracle, </t>
    </r>
    <r>
      <rPr>
        <sz val="11"/>
        <color rgb="FF00B0F0"/>
        <rFont val="Calibri"/>
        <family val="2"/>
        <scheme val="minor"/>
      </rPr>
      <t xml:space="preserve">and </t>
    </r>
    <r>
      <rPr>
        <i/>
        <sz val="11"/>
        <color rgb="FF00B0F0"/>
        <rFont val="Calibri"/>
        <family val="2"/>
        <scheme val="minor"/>
      </rPr>
      <t>true resurrection</t>
    </r>
    <r>
      <rPr>
        <sz val="11"/>
        <color rgb="FF00B0F0"/>
        <rFont val="Calibri"/>
        <family val="2"/>
        <scheme val="minor"/>
      </rPr>
      <t xml:space="preserve"> or similar spells.</t>
    </r>
  </si>
  <si>
    <t>Outsider Weapon Proficiency</t>
  </si>
  <si>
    <t>Proficient with all simple and martial weapons.</t>
  </si>
  <si>
    <t>Outsider Sustenance</t>
  </si>
  <si>
    <t>No need to eat, drink, or sleep.</t>
  </si>
  <si>
    <t>Alertness, Endurance, Able Learner</t>
  </si>
  <si>
    <t>Prallum: Jungle &amp; Forest Abilities</t>
  </si>
  <si>
    <t>Unhindered by jungle or forest environments; able to see and travel as though in open, flat ground.</t>
  </si>
  <si>
    <t>Spiritual Lion Totem</t>
  </si>
  <si>
    <t>Gain the pounce ability; make a full attack at the end of a charge.</t>
  </si>
  <si>
    <t>Steadfast Determination</t>
  </si>
  <si>
    <t>Greatsword, Large</t>
  </si>
  <si>
    <t>116 PHB</t>
  </si>
  <si>
    <t>Scythe</t>
  </si>
  <si>
    <t>Bell</t>
  </si>
  <si>
    <t>128 PHB</t>
  </si>
  <si>
    <t>Candle x30</t>
  </si>
  <si>
    <t>Chalk x30</t>
  </si>
  <si>
    <t>Fishhook &amp; Line</t>
  </si>
  <si>
    <t>Flint and Steel</t>
  </si>
  <si>
    <t>Hammer</t>
  </si>
  <si>
    <t>Ink Vial x2</t>
  </si>
  <si>
    <t>Inkpen</t>
  </si>
  <si>
    <t>Small Steel Mirror</t>
  </si>
  <si>
    <t>Piton x10</t>
  </si>
  <si>
    <t>Silk Rope, 100 ft.</t>
  </si>
  <si>
    <t>Empty Sack x3</t>
  </si>
  <si>
    <t>Sealing Wax</t>
  </si>
  <si>
    <t>Sewing Needle &amp; Thread</t>
  </si>
  <si>
    <t>Signal Whistle</t>
  </si>
  <si>
    <t>Soap</t>
  </si>
  <si>
    <t>Whetstone</t>
  </si>
  <si>
    <t>Merchant's Scale</t>
  </si>
  <si>
    <t>MW Tool of Knowledge: Local</t>
  </si>
  <si>
    <t>129 PHB</t>
  </si>
  <si>
    <t>MW Tool of Knowledge: Nature</t>
  </si>
  <si>
    <t>MW Tool of Autohypnosis</t>
  </si>
  <si>
    <t>MW Tool of Bluff</t>
  </si>
  <si>
    <t>MW Tool of Forgery</t>
  </si>
  <si>
    <t>MW Tool of Use Magic Device</t>
  </si>
  <si>
    <t>Bolt Cutters</t>
  </si>
  <si>
    <t>22 Arms &amp; Equipment</t>
  </si>
  <si>
    <t>Candle, Insectbane x30</t>
  </si>
  <si>
    <t>Earplugs</t>
  </si>
  <si>
    <t>Glass Cutter</t>
  </si>
  <si>
    <t>Holy Text of Lolth</t>
  </si>
  <si>
    <t>Jeweler's Loupe</t>
  </si>
  <si>
    <t>Slate Board</t>
  </si>
  <si>
    <t>Metal Tongs</t>
  </si>
  <si>
    <t>Candle Wick, 250 ft.</t>
  </si>
  <si>
    <t>Forger's Kit</t>
  </si>
  <si>
    <t>Stonebreaker Acid x2</t>
  </si>
  <si>
    <t>32 Arms &amp; Equipment</t>
  </si>
  <si>
    <t>Flour Pouch x30</t>
  </si>
  <si>
    <t>30 Dungeonscape</t>
  </si>
  <si>
    <t>Magnet</t>
  </si>
  <si>
    <t>Rubber Ball x5</t>
  </si>
  <si>
    <t>Rubbing Kit x2</t>
  </si>
  <si>
    <t>Twine, 500 ft.</t>
  </si>
  <si>
    <t>Aboleth Mucus x5</t>
  </si>
  <si>
    <t>48 Savage Species</t>
  </si>
  <si>
    <t>Focusing Candle with Unguent of Timelessness</t>
  </si>
  <si>
    <t>119 Complete Adventurer</t>
  </si>
  <si>
    <t>Chaos Flask x2</t>
  </si>
  <si>
    <t>78 Planar Handbook</t>
  </si>
  <si>
    <t>Eggshell Grenade, Dust x10</t>
  </si>
  <si>
    <t>78 Oriental Adventures</t>
  </si>
  <si>
    <t>Mobile Brace</t>
  </si>
  <si>
    <t>158 Races of Faerun</t>
  </si>
  <si>
    <t>Shapesand</t>
  </si>
  <si>
    <t>102 Sandstorm</t>
  </si>
  <si>
    <t>Sundark Goggles</t>
  </si>
  <si>
    <t>122 Races of the Dragon</t>
  </si>
  <si>
    <t>Small Honey Leather Tarpaulin</t>
  </si>
  <si>
    <t>170 Races of the Wild</t>
  </si>
  <si>
    <t>Big Honey Leather Tarpaulin</t>
  </si>
  <si>
    <t>229 Spell Compendium</t>
  </si>
  <si>
    <t>Arrows x40</t>
  </si>
  <si>
    <t>117 PHB</t>
  </si>
  <si>
    <t>Blank Book x3</t>
  </si>
  <si>
    <t>44 Ghostwalk</t>
  </si>
  <si>
    <t>Wand of Lesser Vigor (25)</t>
  </si>
  <si>
    <t>Greatsword</t>
  </si>
  <si>
    <t>Longsword</t>
  </si>
  <si>
    <t>Longbow</t>
  </si>
  <si>
    <t>Dark Elvish</t>
  </si>
  <si>
    <t>Undercommon</t>
  </si>
  <si>
    <t>Monstrous Spider, Tiny</t>
  </si>
  <si>
    <t>Vermin</t>
  </si>
  <si>
    <t>Reference Page:</t>
  </si>
  <si>
    <t>288 Monster Manual</t>
  </si>
  <si>
    <t>Wildshape Forms</t>
  </si>
  <si>
    <t>Ability Scores:</t>
  </si>
  <si>
    <t>Combat:</t>
  </si>
  <si>
    <t>Bite</t>
  </si>
  <si>
    <t>20/x2</t>
  </si>
  <si>
    <t>Web</t>
  </si>
  <si>
    <t>10 ft.</t>
  </si>
  <si>
    <t>Land Movement:</t>
  </si>
  <si>
    <t>Climb Speed:</t>
  </si>
  <si>
    <t>Racial Skill Bonuses</t>
  </si>
  <si>
    <t>+4 Spot, +8 Climb, use Dex modifier on climb checks, +8 to Hide and Move Silently.</t>
  </si>
  <si>
    <t>289 Monster Manual</t>
  </si>
  <si>
    <t>Extraordinary Special Attacks:</t>
  </si>
  <si>
    <t>Poison</t>
  </si>
  <si>
    <t>Initial/Secondary damage 1d2 Str/1d2 Str; Fort DC 13.</t>
  </si>
  <si>
    <t>8/day, throw a web, effective against creatures up to Small size.  Escape Artist DC 13; Break DC 17, 2 HP.</t>
  </si>
  <si>
    <t>Racial Bonus Feats</t>
  </si>
  <si>
    <t>Use dexterity bonus rather than strength bonus for melee attack rolls on light weapons (including natural attacks).</t>
  </si>
  <si>
    <t>102 PHB</t>
  </si>
  <si>
    <t>Monstrous Spider, Small</t>
  </si>
  <si>
    <t>Saving Throws:</t>
  </si>
  <si>
    <t>Constitution Bonus:</t>
  </si>
  <si>
    <t>Resistance Bonus:</t>
  </si>
  <si>
    <t>Misc. Bonus:</t>
  </si>
  <si>
    <t>Land Speed:</t>
  </si>
  <si>
    <t>Initial/Secondary damage 1d3 Str/1d3 Str; Fort DC 13.</t>
  </si>
  <si>
    <t>8/day, throw a web, effective against creatures up to Medium size.  Escape Artist DC 13; Break DC 17, 4 HP.</t>
  </si>
  <si>
    <t>Monstrous Spider, Medium</t>
  </si>
  <si>
    <t>Initial/Secondary damage 1d4 Str/1d4 Str; Fort DC 15.</t>
  </si>
  <si>
    <t>8/day, throw a web, effective against creatures up to Large size.  Escape Artist DC 15; Break DC 19, 6 HP.</t>
  </si>
  <si>
    <t>Monstrous Spider, Large</t>
  </si>
  <si>
    <t>Initial/Secondary damage 1d6 Str/1d6 Str; Fort DC 16.</t>
  </si>
  <si>
    <t>8/day, throw a web, effective against creatures up to Huge size.  Escape Artist DC 16; Break DC 20, 12 HP.</t>
  </si>
  <si>
    <t>Monstrous Spider, Huge</t>
  </si>
  <si>
    <t>Initial/Secondary damage 1d8 Str/1d8 Str; Fort DC 19.</t>
  </si>
  <si>
    <t>8/day, throw a web, effective against creatures up to Gargantuan size.  Escape Artist DC 19; Break DC 23, 14 HP.</t>
  </si>
  <si>
    <t>Avariel</t>
  </si>
  <si>
    <t>Humanoid</t>
  </si>
  <si>
    <t>32 Races of Faerun</t>
  </si>
  <si>
    <t>Fly Speed, Average Maneuverability:</t>
  </si>
  <si>
    <t>Racial Skill Bonus</t>
  </si>
  <si>
    <t>+4 to Spot and Jump checks.</t>
  </si>
  <si>
    <t>Flight</t>
  </si>
  <si>
    <t>Flight speed 50 ft, average maneuverability, cannot carry greater than Medium load or wear Heavy armor.  Able to use the run action while flying.</t>
  </si>
  <si>
    <t>Dive Attack</t>
  </si>
  <si>
    <t>When making a dive attack (descend 30 ft. minimum and attack with a piercing weapon) deal double damage.</t>
  </si>
  <si>
    <t>Dark Stalker</t>
  </si>
  <si>
    <t>38 Fiend Folio</t>
  </si>
  <si>
    <t>19-20/x2</t>
  </si>
  <si>
    <t>Longsword, One-Handed</t>
  </si>
  <si>
    <t>Longsword, Two-Handed</t>
  </si>
  <si>
    <t>20/x4</t>
  </si>
  <si>
    <t>100 ft.</t>
  </si>
  <si>
    <t>When in shadowy areas, +8 to Hide and +4 to Move Silently.</t>
  </si>
  <si>
    <t>+3d6 damage to enemies that are denied their dexterity bonus or flanked.</t>
  </si>
  <si>
    <t>37 Fiend Folio</t>
  </si>
  <si>
    <t>Mermaid</t>
  </si>
  <si>
    <t>Humanoid (Aquatic)</t>
  </si>
  <si>
    <t>185 Monster Manual</t>
  </si>
  <si>
    <t>Swim Speed:</t>
  </si>
  <si>
    <t>+8 to all swim checks, can always take 10 on swim checks, and can use the run action while swimming.</t>
  </si>
  <si>
    <t>186 Monster Manual</t>
  </si>
  <si>
    <t>Tren</t>
  </si>
  <si>
    <t>Humanoid (Aquatic, Reptilian)</t>
  </si>
  <si>
    <t>87 Serpent Kingdoms</t>
  </si>
  <si>
    <t>Claw (Primary)</t>
  </si>
  <si>
    <t>Claw (Secondary)</t>
  </si>
  <si>
    <t>Bite (Primary)</t>
  </si>
  <si>
    <t>Bite (Secondary)</t>
  </si>
  <si>
    <t>+4 to Hide checks.  +8 to Hide checks in rocky or subterranean terrain.</t>
  </si>
  <si>
    <t>88 Serpent Kingdoms</t>
  </si>
  <si>
    <t>Stench</t>
  </si>
  <si>
    <t>All creatures within 30 ft. must make a DC 14 Fort save or be sickened for 10 rounds.</t>
  </si>
  <si>
    <t>Multiattack</t>
  </si>
  <si>
    <t>Secondary attacks with natural weapons take only a -2 penalty.</t>
  </si>
  <si>
    <t>304 Monster Manual</t>
  </si>
  <si>
    <t>Varag</t>
  </si>
  <si>
    <t>Humanoid (Goblinoid)</t>
  </si>
  <si>
    <t>168 Monster Manual IV</t>
  </si>
  <si>
    <t>Run</t>
  </si>
  <si>
    <t>When running, move at 5x normal speed.  When making a running jump, gain a +4 bonus on Jump check.</t>
  </si>
  <si>
    <t>99 PHB</t>
  </si>
  <si>
    <t>Spring Attack</t>
  </si>
  <si>
    <t>Able to move both before and after a melee attack.  Does not provoke an AoO from the target.</t>
  </si>
  <si>
    <t>100 PHB</t>
  </si>
  <si>
    <t>Firbolg</t>
  </si>
  <si>
    <t>Giant</t>
  </si>
  <si>
    <t>101 Monster Manual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</si>
</sst>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0&quot;\ "/>
    <numFmt numFmtId="165" formatCode="\+#,###.##;\-#,###.##;&quot;+0&quot;\ "/>
  </numFmts>
  <fonts count="15" x14ac:knownFonts="1">
    <font>
      <sz val="11"/>
      <color theme="1"/>
      <name val="Calibri"/>
      <family val="2"/>
      <scheme val="minor"/>
    </font>
    <font>
      <sz val="11"/>
      <color rgb="FFFF0000"/>
      <name val="Calibri"/>
      <family val="2"/>
      <scheme val="minor"/>
    </font>
    <font>
      <sz val="11"/>
      <color theme="0"/>
      <name val="Calibri"/>
      <family val="2"/>
      <scheme val="minor"/>
    </font>
    <font>
      <sz val="36"/>
      <color rgb="FF00B050"/>
      <name val="Calibri"/>
      <family val="2"/>
      <scheme val="minor"/>
    </font>
    <font>
      <sz val="22"/>
      <color rgb="FFFF0000"/>
      <name val="Calibri"/>
      <family val="2"/>
      <scheme val="minor"/>
    </font>
    <font>
      <u/>
      <sz val="11"/>
      <color theme="10"/>
      <name val="Calibri"/>
      <family val="2"/>
      <scheme val="minor"/>
    </font>
    <font>
      <sz val="11"/>
      <name val="Calibri"/>
      <family val="2"/>
      <scheme val="minor"/>
    </font>
    <font>
      <sz val="10"/>
      <color theme="0"/>
      <name val="Calibri"/>
      <family val="2"/>
      <scheme val="minor"/>
    </font>
    <font>
      <sz val="8"/>
      <color theme="0"/>
      <name val="Calibri"/>
      <family val="2"/>
      <scheme val="minor"/>
    </font>
    <font>
      <sz val="10.5"/>
      <color theme="0"/>
      <name val="Calibri"/>
      <family val="2"/>
      <scheme val="minor"/>
    </font>
    <font>
      <sz val="11"/>
      <color rgb="FF00B0F0"/>
      <name val="Calibri"/>
      <family val="2"/>
      <scheme val="minor"/>
    </font>
    <font>
      <sz val="22"/>
      <color rgb="FF00B0F0"/>
      <name val="Calibri"/>
      <family val="2"/>
      <scheme val="minor"/>
    </font>
    <font>
      <i/>
      <sz val="11"/>
      <color rgb="FF00B0F0"/>
      <name val="Calibri"/>
      <family val="2"/>
      <scheme val="minor"/>
    </font>
    <font>
      <sz val="8"/>
      <color rgb="FF00B0F0"/>
      <name val="Calibri"/>
      <family val="2"/>
      <scheme val="minor"/>
    </font>
    <font>
      <sz val="11"/>
      <color rgb="FF00B0F0"/>
      <name val="Calibri"/>
      <family val="2"/>
    </font>
  </fonts>
  <fills count="4">
    <fill>
      <patternFill patternType="none"/>
    </fill>
    <fill>
      <patternFill patternType="gray125"/>
    </fill>
    <fill>
      <patternFill patternType="solid">
        <fgColor theme="1"/>
        <bgColor indexed="64"/>
      </patternFill>
    </fill>
    <fill>
      <patternFill patternType="solid">
        <fgColor rgb="FF000000"/>
        <bgColor indexed="64"/>
      </patternFill>
    </fill>
  </fills>
  <borders count="9">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top/>
      <bottom/>
      <diagonal/>
    </border>
    <border>
      <left style="thin">
        <color rgb="FFFFFFFF"/>
      </left>
      <right/>
      <top style="thin">
        <color theme="0"/>
      </top>
      <bottom style="thin">
        <color theme="0"/>
      </bottom>
      <diagonal/>
    </border>
  </borders>
  <cellStyleXfs count="2">
    <xf numFmtId="0" fontId="0" fillId="0" borderId="0"/>
    <xf numFmtId="0" fontId="5" fillId="0" borderId="0" applyNumberFormat="0" applyFill="0" applyBorder="0" applyAlignment="0" applyProtection="0"/>
  </cellStyleXfs>
  <cellXfs count="220">
    <xf numFmtId="0" fontId="0" fillId="0" borderId="0" xfId="0"/>
    <xf numFmtId="0" fontId="0" fillId="2" borderId="0" xfId="0" applyFill="1" applyProtection="1">
      <protection locked="0"/>
    </xf>
    <xf numFmtId="0" fontId="1" fillId="2" borderId="1" xfId="0" applyFont="1" applyFill="1" applyBorder="1" applyAlignment="1" applyProtection="1">
      <alignment horizontal="left" vertical="top"/>
      <protection locked="0"/>
    </xf>
    <xf numFmtId="0" fontId="1" fillId="2" borderId="0" xfId="0" applyFont="1" applyFill="1" applyBorder="1" applyAlignment="1" applyProtection="1">
      <alignment shrinkToFit="1"/>
      <protection locked="0"/>
    </xf>
    <xf numFmtId="0" fontId="4" fillId="2" borderId="5" xfId="0" applyFont="1" applyFill="1" applyBorder="1" applyProtection="1">
      <protection locked="0"/>
    </xf>
    <xf numFmtId="0" fontId="0" fillId="2" borderId="5" xfId="0" applyFill="1" applyBorder="1" applyProtection="1">
      <protection locked="0"/>
    </xf>
    <xf numFmtId="0" fontId="1" fillId="2" borderId="0" xfId="0" applyFont="1" applyFill="1" applyProtection="1">
      <protection locked="0"/>
    </xf>
    <xf numFmtId="0" fontId="2" fillId="2" borderId="0" xfId="0" applyFont="1" applyFill="1" applyProtection="1">
      <protection locked="0"/>
    </xf>
    <xf numFmtId="0" fontId="8" fillId="2" borderId="1" xfId="0" applyFont="1" applyFill="1" applyBorder="1" applyAlignment="1" applyProtection="1">
      <protection locked="0"/>
    </xf>
    <xf numFmtId="164" fontId="1" fillId="2" borderId="0" xfId="0" applyNumberFormat="1" applyFont="1" applyFill="1" applyBorder="1" applyAlignment="1" applyProtection="1">
      <alignment horizontal="left"/>
      <protection locked="0"/>
    </xf>
    <xf numFmtId="0" fontId="2" fillId="2" borderId="0" xfId="0" applyFont="1" applyFill="1" applyBorder="1" applyAlignment="1" applyProtection="1">
      <alignment shrinkToFit="1"/>
      <protection locked="0"/>
    </xf>
    <xf numFmtId="0" fontId="2" fillId="2" borderId="5" xfId="0" applyFont="1" applyFill="1" applyBorder="1" applyProtection="1">
      <protection locked="0"/>
    </xf>
    <xf numFmtId="0" fontId="1" fillId="2" borderId="0" xfId="0" applyFont="1" applyFill="1" applyAlignment="1" applyProtection="1">
      <alignment wrapText="1"/>
      <protection locked="0"/>
    </xf>
    <xf numFmtId="0" fontId="0" fillId="2" borderId="6" xfId="0" applyFill="1" applyBorder="1" applyProtection="1">
      <protection locked="0"/>
    </xf>
    <xf numFmtId="0" fontId="2" fillId="2" borderId="6" xfId="0" applyFont="1" applyFill="1" applyBorder="1" applyProtection="1">
      <protection locked="0"/>
    </xf>
    <xf numFmtId="0" fontId="6" fillId="2" borderId="0" xfId="0" applyFont="1" applyFill="1" applyBorder="1" applyProtection="1">
      <protection locked="0"/>
    </xf>
    <xf numFmtId="0" fontId="6" fillId="2" borderId="0" xfId="0" applyFont="1" applyFill="1" applyProtection="1">
      <protection hidden="1"/>
    </xf>
    <xf numFmtId="0" fontId="0" fillId="2" borderId="0" xfId="0" applyFont="1" applyFill="1" applyProtection="1">
      <protection hidden="1"/>
    </xf>
    <xf numFmtId="0" fontId="1" fillId="2" borderId="1" xfId="0" applyFont="1" applyFill="1" applyBorder="1" applyAlignment="1" applyProtection="1">
      <alignment horizontal="left" vertical="top" wrapText="1" shrinkToFit="1"/>
      <protection locked="0"/>
    </xf>
    <xf numFmtId="164" fontId="10" fillId="2" borderId="1" xfId="0" applyNumberFormat="1" applyFont="1" applyFill="1" applyBorder="1" applyAlignment="1" applyProtection="1">
      <alignment horizontal="left" vertical="top" wrapText="1"/>
      <protection locked="0"/>
    </xf>
    <xf numFmtId="165" fontId="10" fillId="2" borderId="1" xfId="0" applyNumberFormat="1" applyFont="1" applyFill="1" applyBorder="1" applyAlignment="1" applyProtection="1">
      <alignment horizontal="left" vertical="top" wrapText="1"/>
      <protection locked="0"/>
    </xf>
    <xf numFmtId="49" fontId="10" fillId="2" borderId="1" xfId="0" applyNumberFormat="1" applyFont="1" applyFill="1" applyBorder="1" applyAlignment="1" applyProtection="1">
      <alignment horizontal="left" vertical="top" wrapText="1"/>
      <protection locked="0"/>
    </xf>
    <xf numFmtId="0" fontId="10" fillId="2" borderId="1" xfId="0" applyNumberFormat="1" applyFont="1" applyFill="1" applyBorder="1" applyAlignment="1" applyProtection="1">
      <alignment horizontal="left" vertical="top" wrapText="1"/>
      <protection locked="0"/>
    </xf>
    <xf numFmtId="0" fontId="11" fillId="2" borderId="5" xfId="0" applyFont="1" applyFill="1" applyBorder="1" applyProtection="1">
      <protection locked="0"/>
    </xf>
    <xf numFmtId="0" fontId="10" fillId="2" borderId="1" xfId="0" applyFont="1" applyFill="1" applyBorder="1" applyAlignment="1" applyProtection="1">
      <alignment horizontal="left" vertical="top"/>
    </xf>
    <xf numFmtId="164" fontId="10" fillId="2" borderId="1" xfId="0" applyNumberFormat="1" applyFont="1" applyFill="1" applyBorder="1" applyAlignment="1" applyProtection="1">
      <alignment horizontal="left"/>
    </xf>
    <xf numFmtId="0" fontId="10" fillId="2" borderId="1" xfId="0" applyFont="1" applyFill="1" applyBorder="1" applyAlignment="1" applyProtection="1">
      <alignment horizontal="left" shrinkToFit="1"/>
      <protection locked="0"/>
    </xf>
    <xf numFmtId="164" fontId="10" fillId="2" borderId="1" xfId="0" applyNumberFormat="1" applyFont="1" applyFill="1" applyBorder="1" applyAlignment="1" applyProtection="1">
      <alignment horizontal="left" vertical="top" shrinkToFit="1"/>
      <protection locked="0"/>
    </xf>
    <xf numFmtId="0" fontId="10" fillId="2" borderId="1" xfId="0" applyNumberFormat="1" applyFont="1" applyFill="1" applyBorder="1" applyAlignment="1" applyProtection="1">
      <alignment horizontal="left" vertical="top"/>
    </xf>
    <xf numFmtId="164" fontId="10" fillId="2" borderId="1" xfId="0" applyNumberFormat="1" applyFont="1" applyFill="1" applyBorder="1" applyAlignment="1" applyProtection="1">
      <alignment horizontal="left" vertical="top" shrinkToFit="1"/>
    </xf>
    <xf numFmtId="9" fontId="10" fillId="2" borderId="1" xfId="0" applyNumberFormat="1" applyFont="1" applyFill="1" applyBorder="1" applyAlignment="1" applyProtection="1">
      <alignment horizontal="left" vertical="top" shrinkToFit="1"/>
    </xf>
    <xf numFmtId="0" fontId="10" fillId="2" borderId="1" xfId="0" applyFont="1" applyFill="1" applyBorder="1" applyAlignment="1" applyProtection="1">
      <alignment horizontal="left" shrinkToFit="1"/>
    </xf>
    <xf numFmtId="0" fontId="10" fillId="2" borderId="1" xfId="0" applyNumberFormat="1" applyFont="1" applyFill="1" applyBorder="1" applyAlignment="1" applyProtection="1">
      <alignment horizontal="left"/>
      <protection locked="0"/>
    </xf>
    <xf numFmtId="0" fontId="10" fillId="2" borderId="5" xfId="0" applyFont="1" applyFill="1" applyBorder="1" applyProtection="1">
      <protection locked="0"/>
    </xf>
    <xf numFmtId="0" fontId="10" fillId="2" borderId="0" xfId="0" applyFont="1" applyFill="1" applyProtection="1">
      <protection locked="0"/>
    </xf>
    <xf numFmtId="0" fontId="10" fillId="2" borderId="1" xfId="0" applyFont="1" applyFill="1" applyBorder="1" applyAlignment="1" applyProtection="1">
      <alignment wrapText="1"/>
      <protection locked="0"/>
    </xf>
    <xf numFmtId="0" fontId="10" fillId="2" borderId="1"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shrinkToFit="1"/>
      <protection locked="0"/>
    </xf>
    <xf numFmtId="164" fontId="10" fillId="2" borderId="1" xfId="0" applyNumberFormat="1" applyFont="1" applyFill="1" applyBorder="1" applyAlignment="1" applyProtection="1">
      <alignment horizontal="left" vertical="top"/>
    </xf>
    <xf numFmtId="0" fontId="2" fillId="2" borderId="2" xfId="0" applyFont="1" applyFill="1" applyBorder="1" applyProtection="1">
      <protection locked="0"/>
    </xf>
    <xf numFmtId="164" fontId="10" fillId="2" borderId="1" xfId="0" applyNumberFormat="1" applyFont="1" applyFill="1" applyBorder="1" applyAlignment="1" applyProtection="1">
      <alignment horizontal="left"/>
      <protection locked="0"/>
    </xf>
    <xf numFmtId="0" fontId="2" fillId="2" borderId="1"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wrapText="1"/>
      <protection locked="0"/>
    </xf>
    <xf numFmtId="0" fontId="2" fillId="2" borderId="1" xfId="0" applyFont="1" applyFill="1" applyBorder="1" applyProtection="1">
      <protection locked="0"/>
    </xf>
    <xf numFmtId="0" fontId="2" fillId="2" borderId="1" xfId="0" applyFont="1" applyFill="1" applyBorder="1" applyAlignment="1" applyProtection="1">
      <alignment horizontal="left" vertical="top" shrinkToFit="1"/>
      <protection locked="0"/>
    </xf>
    <xf numFmtId="0" fontId="10" fillId="2" borderId="1" xfId="0" applyFont="1" applyFill="1" applyBorder="1" applyAlignment="1" applyProtection="1">
      <alignment horizontal="left"/>
    </xf>
    <xf numFmtId="0" fontId="2" fillId="2" borderId="1" xfId="0" applyFont="1" applyFill="1" applyBorder="1" applyAlignment="1" applyProtection="1">
      <alignment shrinkToFit="1"/>
      <protection locked="0"/>
    </xf>
    <xf numFmtId="0" fontId="10" fillId="2" borderId="2" xfId="0" applyFont="1" applyFill="1" applyBorder="1" applyAlignment="1" applyProtection="1">
      <alignment horizontal="left" shrinkToFit="1"/>
      <protection locked="0"/>
    </xf>
    <xf numFmtId="0" fontId="2" fillId="2" borderId="2" xfId="0" applyFont="1" applyFill="1" applyBorder="1" applyAlignment="1" applyProtection="1">
      <alignment shrinkToFit="1"/>
      <protection locked="0"/>
    </xf>
    <xf numFmtId="0" fontId="2" fillId="2" borderId="0" xfId="0" applyFont="1" applyFill="1" applyBorder="1" applyProtection="1">
      <protection locked="0"/>
    </xf>
    <xf numFmtId="0" fontId="10" fillId="2" borderId="1" xfId="0" applyFont="1" applyFill="1" applyBorder="1" applyAlignment="1" applyProtection="1">
      <alignment horizontal="left" vertical="top"/>
      <protection locked="0"/>
    </xf>
    <xf numFmtId="0" fontId="10" fillId="2" borderId="1" xfId="0" applyFont="1" applyFill="1" applyBorder="1" applyAlignment="1" applyProtection="1">
      <alignment horizontal="left"/>
      <protection locked="0"/>
    </xf>
    <xf numFmtId="0" fontId="0" fillId="2" borderId="0" xfId="0" applyFont="1" applyFill="1" applyProtection="1"/>
    <xf numFmtId="0" fontId="1" fillId="2" borderId="1" xfId="0" applyFont="1" applyFill="1" applyBorder="1" applyAlignment="1" applyProtection="1">
      <alignment horizontal="left" vertical="top"/>
    </xf>
    <xf numFmtId="0" fontId="1" fillId="2" borderId="1" xfId="0" applyFont="1" applyFill="1" applyBorder="1" applyAlignment="1" applyProtection="1">
      <alignment horizontal="left" vertical="top" shrinkToFit="1"/>
      <protection locked="0"/>
    </xf>
    <xf numFmtId="0" fontId="2" fillId="2" borderId="0"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wrapText="1"/>
      <protection locked="0"/>
    </xf>
    <xf numFmtId="0" fontId="2" fillId="2" borderId="1" xfId="0" applyFont="1" applyFill="1" applyBorder="1" applyAlignment="1" applyProtection="1">
      <alignment wrapText="1"/>
      <protection locked="0"/>
    </xf>
    <xf numFmtId="0" fontId="2" fillId="2" borderId="1" xfId="0" applyFont="1" applyFill="1" applyBorder="1" applyAlignment="1" applyProtection="1">
      <alignment horizontal="left" wrapText="1"/>
      <protection locked="0"/>
    </xf>
    <xf numFmtId="0" fontId="2" fillId="2" borderId="0" xfId="0" applyFont="1" applyFill="1" applyBorder="1" applyAlignment="1" applyProtection="1">
      <alignment wrapText="1"/>
      <protection locked="0"/>
    </xf>
    <xf numFmtId="0" fontId="2" fillId="2" borderId="0" xfId="0" applyFont="1" applyFill="1" applyAlignment="1" applyProtection="1">
      <alignment horizontal="left"/>
      <protection locked="0"/>
    </xf>
    <xf numFmtId="0" fontId="1" fillId="2" borderId="1"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10" fillId="2" borderId="1" xfId="0" applyFont="1" applyFill="1" applyBorder="1" applyAlignment="1" applyProtection="1">
      <alignment horizontal="left" wrapText="1"/>
    </xf>
    <xf numFmtId="0" fontId="2" fillId="2" borderId="2" xfId="0" applyFont="1" applyFill="1" applyBorder="1" applyAlignment="1" applyProtection="1">
      <alignment horizontal="left" vertical="top"/>
      <protection locked="0"/>
    </xf>
    <xf numFmtId="0" fontId="10" fillId="2" borderId="1"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shrinkToFit="1"/>
      <protection locked="0"/>
    </xf>
    <xf numFmtId="0" fontId="2" fillId="2" borderId="1" xfId="0" applyFont="1" applyFill="1" applyBorder="1" applyAlignment="1" applyProtection="1">
      <alignment horizontal="left" vertical="top"/>
      <protection locked="0"/>
    </xf>
    <xf numFmtId="0" fontId="10" fillId="2" borderId="1" xfId="0" quotePrefix="1" applyFont="1" applyFill="1" applyBorder="1" applyAlignment="1" applyProtection="1">
      <alignment wrapText="1"/>
      <protection locked="0"/>
    </xf>
    <xf numFmtId="0" fontId="2" fillId="2" borderId="1" xfId="0" applyFont="1" applyFill="1" applyBorder="1" applyProtection="1">
      <protection locked="0"/>
    </xf>
    <xf numFmtId="0" fontId="10" fillId="2" borderId="1" xfId="0" applyFont="1" applyFill="1" applyBorder="1" applyAlignment="1" applyProtection="1">
      <alignment horizontal="left" vertical="top"/>
      <protection locked="0"/>
    </xf>
    <xf numFmtId="0" fontId="10" fillId="2" borderId="1" xfId="0" applyFont="1" applyFill="1" applyBorder="1" applyAlignment="1" applyProtection="1">
      <alignment horizontal="left" vertical="top"/>
      <protection locked="0"/>
    </xf>
    <xf numFmtId="0" fontId="8" fillId="2" borderId="1" xfId="0" applyFont="1" applyFill="1" applyBorder="1" applyProtection="1">
      <protection locked="0"/>
    </xf>
    <xf numFmtId="0" fontId="10" fillId="2" borderId="1" xfId="0" applyFont="1" applyFill="1" applyBorder="1" applyProtection="1">
      <protection locked="0"/>
    </xf>
    <xf numFmtId="0" fontId="2" fillId="2" borderId="1" xfId="0" applyFont="1" applyFill="1" applyBorder="1" applyAlignment="1" applyProtection="1">
      <alignment horizontal="left" vertical="top"/>
      <protection locked="0"/>
    </xf>
    <xf numFmtId="0" fontId="2" fillId="2" borderId="1" xfId="0" applyFont="1" applyFill="1" applyBorder="1" applyAlignment="1" applyProtection="1">
      <alignment horizontal="left" vertical="top" shrinkToFit="1"/>
      <protection locked="0"/>
    </xf>
    <xf numFmtId="164" fontId="10" fillId="2" borderId="1" xfId="0" applyNumberFormat="1" applyFont="1" applyFill="1" applyBorder="1" applyAlignment="1" applyProtection="1">
      <alignment horizontal="left" vertical="top"/>
    </xf>
    <xf numFmtId="0" fontId="10" fillId="2" borderId="1" xfId="0" applyFont="1" applyFill="1" applyBorder="1" applyAlignment="1" applyProtection="1">
      <alignment horizontal="left" vertical="top"/>
      <protection locked="0"/>
    </xf>
    <xf numFmtId="0" fontId="2" fillId="2" borderId="1" xfId="0" applyFont="1" applyFill="1" applyBorder="1" applyProtection="1">
      <protection locked="0"/>
    </xf>
    <xf numFmtId="0" fontId="10" fillId="2" borderId="1" xfId="0" applyFont="1" applyFill="1" applyBorder="1" applyAlignment="1" applyProtection="1">
      <alignment horizontal="left"/>
    </xf>
    <xf numFmtId="0" fontId="10" fillId="2" borderId="1" xfId="0" applyFont="1" applyFill="1" applyBorder="1" applyAlignment="1" applyProtection="1">
      <alignment horizontal="left"/>
      <protection locked="0"/>
    </xf>
    <xf numFmtId="164" fontId="10" fillId="2" borderId="1" xfId="0" applyNumberFormat="1" applyFont="1" applyFill="1" applyBorder="1" applyAlignment="1" applyProtection="1">
      <alignment horizontal="left"/>
      <protection locked="0"/>
    </xf>
    <xf numFmtId="0" fontId="2" fillId="2" borderId="1" xfId="0" applyFont="1" applyFill="1" applyBorder="1" applyAlignment="1" applyProtection="1">
      <alignment horizontal="left" vertical="top" shrinkToFit="1"/>
      <protection locked="0"/>
    </xf>
    <xf numFmtId="0" fontId="2" fillId="2" borderId="1" xfId="0" applyFont="1" applyFill="1" applyBorder="1" applyAlignment="1" applyProtection="1">
      <alignment shrinkToFit="1"/>
      <protection locked="0"/>
    </xf>
    <xf numFmtId="0" fontId="2" fillId="2" borderId="0" xfId="0" applyFont="1" applyFill="1" applyBorder="1" applyProtection="1">
      <protection locked="0"/>
    </xf>
    <xf numFmtId="0" fontId="2" fillId="2" borderId="1" xfId="0" applyFont="1" applyFill="1" applyBorder="1" applyAlignment="1" applyProtection="1">
      <alignment horizontal="left" vertical="top" shrinkToFit="1"/>
      <protection locked="0"/>
    </xf>
    <xf numFmtId="0" fontId="1" fillId="2" borderId="1" xfId="0" applyFont="1" applyFill="1" applyBorder="1" applyAlignment="1" applyProtection="1">
      <alignment horizontal="left" vertical="top" shrinkToFit="1"/>
      <protection locked="0"/>
    </xf>
    <xf numFmtId="0" fontId="1" fillId="2" borderId="2" xfId="0" applyFont="1" applyFill="1" applyBorder="1" applyAlignment="1" applyProtection="1">
      <alignment horizontal="left" vertical="top" shrinkToFit="1"/>
      <protection locked="0"/>
    </xf>
    <xf numFmtId="0" fontId="1" fillId="2" borderId="4" xfId="0" applyFont="1" applyFill="1" applyBorder="1" applyAlignment="1" applyProtection="1">
      <alignment horizontal="left" vertical="top" shrinkToFit="1"/>
      <protection locked="0"/>
    </xf>
    <xf numFmtId="0" fontId="10" fillId="2" borderId="1" xfId="0" applyFont="1" applyFill="1" applyBorder="1" applyAlignment="1" applyProtection="1">
      <alignment horizontal="left" vertical="top" wrapText="1"/>
      <protection locked="0"/>
    </xf>
    <xf numFmtId="0" fontId="10" fillId="2" borderId="2"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protection locked="0"/>
    </xf>
    <xf numFmtId="0" fontId="2" fillId="2" borderId="2" xfId="0" applyFont="1" applyFill="1" applyBorder="1" applyAlignment="1" applyProtection="1">
      <alignment horizontal="left" vertical="top"/>
      <protection locked="0"/>
    </xf>
    <xf numFmtId="0" fontId="2" fillId="2" borderId="3" xfId="0" applyFont="1" applyFill="1" applyBorder="1" applyAlignment="1" applyProtection="1">
      <alignment horizontal="left" vertical="top"/>
      <protection locked="0"/>
    </xf>
    <xf numFmtId="0" fontId="2" fillId="2" borderId="4" xfId="0" applyFont="1" applyFill="1" applyBorder="1" applyAlignment="1" applyProtection="1">
      <alignment horizontal="left" vertical="top"/>
      <protection locked="0"/>
    </xf>
    <xf numFmtId="0" fontId="10" fillId="2" borderId="2" xfId="0" applyFont="1" applyFill="1" applyBorder="1" applyAlignment="1" applyProtection="1">
      <alignment horizontal="left" vertical="top" shrinkToFit="1"/>
      <protection locked="0"/>
    </xf>
    <xf numFmtId="0" fontId="10" fillId="2" borderId="4" xfId="0" applyFont="1" applyFill="1" applyBorder="1" applyAlignment="1" applyProtection="1">
      <alignment horizontal="left" vertical="top" shrinkToFit="1"/>
      <protection locked="0"/>
    </xf>
    <xf numFmtId="0" fontId="10" fillId="2" borderId="2" xfId="0" quotePrefix="1" applyFont="1" applyFill="1" applyBorder="1" applyAlignment="1" applyProtection="1">
      <alignment horizontal="left" vertical="top" wrapText="1"/>
      <protection locked="0"/>
    </xf>
    <xf numFmtId="0" fontId="10" fillId="2" borderId="2" xfId="0" applyFont="1" applyFill="1" applyBorder="1" applyAlignment="1" applyProtection="1">
      <alignment horizontal="left" shrinkToFit="1"/>
      <protection locked="0"/>
    </xf>
    <xf numFmtId="0" fontId="10" fillId="2" borderId="4" xfId="0" applyFont="1" applyFill="1" applyBorder="1" applyAlignment="1" applyProtection="1">
      <alignment horizontal="left" shrinkToFit="1"/>
      <protection locked="0"/>
    </xf>
    <xf numFmtId="0" fontId="10" fillId="2" borderId="2" xfId="0" applyFont="1" applyFill="1" applyBorder="1" applyAlignment="1" applyProtection="1">
      <alignment shrinkToFit="1"/>
      <protection locked="0"/>
    </xf>
    <xf numFmtId="0" fontId="10" fillId="2" borderId="3" xfId="0" applyFont="1" applyFill="1" applyBorder="1" applyAlignment="1" applyProtection="1">
      <alignment shrinkToFit="1"/>
      <protection locked="0"/>
    </xf>
    <xf numFmtId="0" fontId="10" fillId="2" borderId="4" xfId="0" applyFont="1" applyFill="1" applyBorder="1" applyAlignment="1" applyProtection="1">
      <alignment shrinkToFit="1"/>
      <protection locked="0"/>
    </xf>
    <xf numFmtId="0" fontId="2" fillId="2" borderId="2" xfId="0" applyFont="1" applyFill="1" applyBorder="1" applyProtection="1">
      <protection locked="0"/>
    </xf>
    <xf numFmtId="0" fontId="2" fillId="2" borderId="3" xfId="0" applyFont="1" applyFill="1" applyBorder="1" applyProtection="1">
      <protection locked="0"/>
    </xf>
    <xf numFmtId="0" fontId="2" fillId="2" borderId="4" xfId="0" applyFont="1" applyFill="1" applyBorder="1" applyProtection="1">
      <protection locked="0"/>
    </xf>
    <xf numFmtId="164" fontId="10" fillId="2" borderId="1" xfId="0" applyNumberFormat="1" applyFont="1" applyFill="1" applyBorder="1" applyAlignment="1" applyProtection="1">
      <alignment horizontal="left"/>
      <protection locked="0"/>
    </xf>
    <xf numFmtId="164" fontId="10" fillId="2" borderId="1" xfId="0" applyNumberFormat="1" applyFont="1" applyFill="1" applyBorder="1" applyAlignment="1" applyProtection="1">
      <alignment horizontal="left" vertical="top"/>
    </xf>
    <xf numFmtId="164" fontId="10" fillId="2" borderId="1" xfId="0" applyNumberFormat="1" applyFont="1" applyFill="1" applyBorder="1" applyAlignment="1" applyProtection="1">
      <alignment horizontal="left" vertical="top"/>
      <protection locked="0"/>
    </xf>
    <xf numFmtId="0" fontId="2" fillId="2" borderId="1" xfId="0" applyFont="1" applyFill="1" applyBorder="1" applyProtection="1">
      <protection locked="0"/>
    </xf>
    <xf numFmtId="0" fontId="10" fillId="2" borderId="1" xfId="0" applyFont="1" applyFill="1" applyBorder="1" applyAlignment="1" applyProtection="1">
      <alignment horizontal="left" vertical="top" shrinkToFit="1"/>
      <protection locked="0"/>
    </xf>
    <xf numFmtId="0" fontId="2" fillId="2" borderId="2" xfId="0" applyFont="1" applyFill="1" applyBorder="1" applyAlignment="1" applyProtection="1">
      <alignment horizontal="left" wrapText="1"/>
      <protection locked="0"/>
    </xf>
    <xf numFmtId="0" fontId="2" fillId="2" borderId="3" xfId="0" applyFont="1" applyFill="1" applyBorder="1" applyAlignment="1" applyProtection="1">
      <alignment horizontal="left" wrapText="1"/>
      <protection locked="0"/>
    </xf>
    <xf numFmtId="0" fontId="2" fillId="2" borderId="4" xfId="0" applyFont="1" applyFill="1" applyBorder="1" applyAlignment="1" applyProtection="1">
      <alignment horizontal="left" wrapText="1"/>
      <protection locked="0"/>
    </xf>
    <xf numFmtId="0" fontId="2" fillId="2" borderId="1" xfId="0" applyFont="1" applyFill="1" applyBorder="1" applyAlignment="1" applyProtection="1">
      <alignment wrapText="1"/>
      <protection locked="0"/>
    </xf>
    <xf numFmtId="0" fontId="2" fillId="2" borderId="2" xfId="0" applyFont="1" applyFill="1" applyBorder="1" applyAlignment="1" applyProtection="1">
      <alignment wrapText="1"/>
      <protection locked="0"/>
    </xf>
    <xf numFmtId="0" fontId="2" fillId="2" borderId="3" xfId="0" applyFont="1" applyFill="1" applyBorder="1" applyAlignment="1" applyProtection="1">
      <alignment wrapText="1"/>
      <protection locked="0"/>
    </xf>
    <xf numFmtId="0" fontId="2" fillId="2" borderId="4" xfId="0" applyFont="1" applyFill="1" applyBorder="1" applyAlignment="1" applyProtection="1">
      <alignment wrapText="1"/>
      <protection locked="0"/>
    </xf>
    <xf numFmtId="0" fontId="1" fillId="2" borderId="2" xfId="0" applyFont="1" applyFill="1" applyBorder="1" applyAlignment="1" applyProtection="1">
      <alignment horizontal="left" wrapText="1"/>
      <protection locked="0"/>
    </xf>
    <xf numFmtId="0" fontId="1" fillId="2" borderId="3" xfId="0" applyFont="1" applyFill="1" applyBorder="1" applyAlignment="1" applyProtection="1">
      <alignment horizontal="left" wrapText="1"/>
      <protection locked="0"/>
    </xf>
    <xf numFmtId="0" fontId="1" fillId="2" borderId="4" xfId="0" applyFont="1" applyFill="1" applyBorder="1" applyAlignment="1" applyProtection="1">
      <alignment horizontal="left" wrapText="1"/>
      <protection locked="0"/>
    </xf>
    <xf numFmtId="0" fontId="1" fillId="2" borderId="1" xfId="0" applyFont="1" applyFill="1" applyBorder="1" applyAlignment="1" applyProtection="1">
      <alignment horizontal="left" wrapText="1"/>
      <protection locked="0"/>
    </xf>
    <xf numFmtId="0" fontId="2" fillId="2" borderId="1" xfId="0" applyFont="1" applyFill="1" applyBorder="1" applyAlignment="1" applyProtection="1">
      <alignment horizontal="left" wrapText="1"/>
      <protection locked="0"/>
    </xf>
    <xf numFmtId="0" fontId="10" fillId="2" borderId="1" xfId="0" applyFont="1" applyFill="1" applyBorder="1" applyAlignment="1" applyProtection="1">
      <alignment horizontal="left" wrapText="1"/>
    </xf>
    <xf numFmtId="0" fontId="10" fillId="2" borderId="1" xfId="0" applyFont="1" applyFill="1" applyBorder="1" applyAlignment="1" applyProtection="1">
      <alignment wrapText="1"/>
      <protection locked="0"/>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shrinkToFit="1"/>
      <protection locked="0"/>
    </xf>
    <xf numFmtId="0" fontId="2" fillId="2" borderId="3" xfId="0" applyFont="1" applyFill="1" applyBorder="1" applyAlignment="1" applyProtection="1">
      <alignment horizontal="left" vertical="top" shrinkToFit="1"/>
      <protection locked="0"/>
    </xf>
    <xf numFmtId="0" fontId="2" fillId="2" borderId="4" xfId="0" applyFont="1" applyFill="1" applyBorder="1" applyAlignment="1" applyProtection="1">
      <alignment horizontal="left" vertical="top" shrinkToFit="1"/>
      <protection locked="0"/>
    </xf>
    <xf numFmtId="0" fontId="1" fillId="2" borderId="3" xfId="0" applyFont="1" applyFill="1" applyBorder="1" applyAlignment="1" applyProtection="1">
      <alignment horizontal="left" vertical="top" shrinkToFit="1"/>
      <protection locked="0"/>
    </xf>
    <xf numFmtId="0" fontId="10" fillId="2" borderId="1" xfId="0" quotePrefix="1" applyFont="1" applyFill="1" applyBorder="1" applyAlignment="1" applyProtection="1">
      <alignment wrapText="1"/>
      <protection locked="0"/>
    </xf>
    <xf numFmtId="0" fontId="10" fillId="2" borderId="2" xfId="0" applyFont="1" applyFill="1" applyBorder="1" applyAlignment="1" applyProtection="1">
      <alignment wrapText="1"/>
      <protection locked="0"/>
    </xf>
    <xf numFmtId="0" fontId="10" fillId="2" borderId="3" xfId="0" applyFont="1" applyFill="1" applyBorder="1" applyAlignment="1" applyProtection="1">
      <alignment wrapText="1"/>
      <protection locked="0"/>
    </xf>
    <xf numFmtId="0" fontId="10" fillId="2" borderId="4" xfId="0" applyFont="1" applyFill="1" applyBorder="1" applyAlignment="1" applyProtection="1">
      <alignment wrapText="1"/>
      <protection locked="0"/>
    </xf>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shrinkToFit="1"/>
      <protection locked="0"/>
    </xf>
    <xf numFmtId="0" fontId="1" fillId="2" borderId="4" xfId="0" applyFont="1" applyFill="1" applyBorder="1" applyAlignment="1" applyProtection="1">
      <alignment horizontal="left" vertical="top" wrapText="1" shrinkToFit="1"/>
      <protection locked="0"/>
    </xf>
    <xf numFmtId="0" fontId="1" fillId="2" borderId="3" xfId="0" applyFont="1" applyFill="1" applyBorder="1" applyAlignment="1" applyProtection="1">
      <alignment horizontal="left" vertical="top" wrapText="1" shrinkToFit="1"/>
      <protection locked="0"/>
    </xf>
    <xf numFmtId="0" fontId="1" fillId="2" borderId="2" xfId="0" applyFont="1" applyFill="1" applyBorder="1" applyAlignment="1" applyProtection="1">
      <alignment wrapText="1"/>
      <protection locked="0"/>
    </xf>
    <xf numFmtId="0" fontId="1" fillId="2" borderId="4"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0" fillId="2" borderId="3" xfId="0" applyFont="1" applyFill="1" applyBorder="1" applyAlignment="1" applyProtection="1">
      <alignment horizontal="left" vertical="top" shrinkToFit="1"/>
      <protection locked="0"/>
    </xf>
    <xf numFmtId="0" fontId="7" fillId="2" borderId="2" xfId="0" applyFont="1" applyFill="1" applyBorder="1" applyAlignment="1" applyProtection="1">
      <alignment horizontal="left" vertical="top"/>
      <protection locked="0"/>
    </xf>
    <xf numFmtId="0" fontId="7" fillId="2" borderId="4" xfId="0" applyFont="1" applyFill="1" applyBorder="1" applyAlignment="1" applyProtection="1">
      <alignment horizontal="left" vertical="top"/>
      <protection locked="0"/>
    </xf>
    <xf numFmtId="0" fontId="8" fillId="2" borderId="2" xfId="0" applyFont="1" applyFill="1" applyBorder="1" applyAlignment="1" applyProtection="1">
      <protection locked="0"/>
    </xf>
    <xf numFmtId="0" fontId="8" fillId="2" borderId="4" xfId="0" applyFont="1" applyFill="1" applyBorder="1" applyAlignment="1" applyProtection="1">
      <protection locked="0"/>
    </xf>
    <xf numFmtId="0" fontId="10" fillId="2" borderId="0" xfId="0" applyFont="1" applyFill="1" applyAlignment="1" applyProtection="1">
      <alignment horizontal="left" vertical="top"/>
      <protection locked="0"/>
    </xf>
    <xf numFmtId="0" fontId="10" fillId="2" borderId="1" xfId="0" applyFont="1" applyFill="1" applyBorder="1" applyAlignment="1" applyProtection="1">
      <alignment horizontal="left"/>
    </xf>
    <xf numFmtId="0" fontId="10" fillId="2" borderId="0" xfId="1" applyFont="1" applyFill="1" applyProtection="1"/>
    <xf numFmtId="0" fontId="2" fillId="2" borderId="2" xfId="0" applyFont="1" applyFill="1" applyBorder="1" applyAlignment="1" applyProtection="1">
      <alignment shrinkToFit="1"/>
      <protection locked="0"/>
    </xf>
    <xf numFmtId="0" fontId="2" fillId="2" borderId="3" xfId="0" applyFont="1" applyFill="1" applyBorder="1" applyAlignment="1" applyProtection="1">
      <alignment shrinkToFit="1"/>
      <protection locked="0"/>
    </xf>
    <xf numFmtId="0" fontId="2" fillId="2" borderId="4" xfId="0" applyFont="1" applyFill="1" applyBorder="1" applyAlignment="1" applyProtection="1">
      <alignment shrinkToFit="1"/>
      <protection locked="0"/>
    </xf>
    <xf numFmtId="0" fontId="10" fillId="2" borderId="2" xfId="0" applyNumberFormat="1" applyFont="1" applyFill="1" applyBorder="1" applyAlignment="1" applyProtection="1">
      <alignment horizontal="left" vertical="top" wrapText="1"/>
    </xf>
    <xf numFmtId="0" fontId="10" fillId="2" borderId="3" xfId="0" applyNumberFormat="1" applyFont="1" applyFill="1" applyBorder="1" applyAlignment="1" applyProtection="1">
      <alignment horizontal="left" vertical="top" wrapText="1"/>
    </xf>
    <xf numFmtId="0" fontId="10" fillId="2" borderId="4" xfId="0" applyNumberFormat="1" applyFont="1" applyFill="1" applyBorder="1" applyAlignment="1" applyProtection="1">
      <alignment horizontal="left" vertical="top" wrapText="1"/>
    </xf>
    <xf numFmtId="0" fontId="10" fillId="2" borderId="2" xfId="0" applyFont="1" applyFill="1" applyBorder="1" applyAlignment="1" applyProtection="1">
      <alignment horizontal="left" shrinkToFit="1"/>
    </xf>
    <xf numFmtId="0" fontId="10" fillId="2" borderId="4" xfId="0" applyFont="1" applyFill="1" applyBorder="1" applyAlignment="1" applyProtection="1">
      <alignment horizontal="left" shrinkToFit="1"/>
    </xf>
    <xf numFmtId="0" fontId="2" fillId="2" borderId="1" xfId="0" applyFont="1" applyFill="1" applyBorder="1" applyAlignment="1" applyProtection="1">
      <alignment shrinkToFit="1"/>
      <protection locked="0"/>
    </xf>
    <xf numFmtId="0" fontId="10" fillId="2" borderId="2"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10" fillId="2" borderId="4" xfId="0" applyFont="1" applyFill="1" applyBorder="1" applyAlignment="1" applyProtection="1">
      <alignment horizontal="left" vertical="top" wrapText="1"/>
    </xf>
    <xf numFmtId="0" fontId="2" fillId="2" borderId="0" xfId="0" applyFont="1" applyFill="1" applyAlignment="1" applyProtection="1">
      <alignment horizontal="left" vertical="top" wrapText="1"/>
      <protection locked="0"/>
    </xf>
    <xf numFmtId="0" fontId="2" fillId="2" borderId="0" xfId="0" applyFont="1" applyFill="1" applyAlignment="1" applyProtection="1">
      <alignment horizontal="left" vertical="top"/>
      <protection locked="0"/>
    </xf>
    <xf numFmtId="0" fontId="10" fillId="2" borderId="3" xfId="0" applyFont="1" applyFill="1" applyBorder="1" applyAlignment="1" applyProtection="1">
      <alignment horizontal="left" shrinkToFit="1"/>
      <protection locked="0"/>
    </xf>
    <xf numFmtId="0" fontId="1" fillId="2" borderId="0" xfId="0" applyFont="1" applyFill="1" applyAlignment="1" applyProtection="1">
      <alignment horizontal="left" vertical="top"/>
      <protection locked="0"/>
    </xf>
    <xf numFmtId="0" fontId="1" fillId="2" borderId="0" xfId="0" applyFont="1" applyFill="1" applyAlignment="1" applyProtection="1">
      <alignment horizontal="left" vertical="top" wrapText="1"/>
      <protection locked="0"/>
    </xf>
    <xf numFmtId="0" fontId="10" fillId="2" borderId="2"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0" fontId="2" fillId="2" borderId="7" xfId="0" applyFont="1" applyFill="1" applyBorder="1" applyProtection="1">
      <protection locked="0"/>
    </xf>
    <xf numFmtId="0" fontId="2" fillId="2" borderId="0" xfId="0" applyFont="1" applyFill="1" applyBorder="1" applyProtection="1">
      <protection locked="0"/>
    </xf>
    <xf numFmtId="0" fontId="1" fillId="2" borderId="7"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1" fillId="2" borderId="0" xfId="0" applyFont="1" applyFill="1" applyProtection="1">
      <protection locked="0"/>
    </xf>
    <xf numFmtId="0" fontId="7" fillId="2" borderId="2" xfId="0" applyFont="1" applyFill="1" applyBorder="1" applyAlignment="1" applyProtection="1">
      <protection locked="0"/>
    </xf>
    <xf numFmtId="0" fontId="7" fillId="2" borderId="4" xfId="0" applyFont="1" applyFill="1" applyBorder="1" applyAlignment="1" applyProtection="1">
      <protection locked="0"/>
    </xf>
    <xf numFmtId="0" fontId="10" fillId="2" borderId="2" xfId="0" applyFont="1" applyFill="1" applyBorder="1" applyProtection="1">
      <protection locked="0"/>
    </xf>
    <xf numFmtId="0" fontId="10" fillId="2" borderId="3" xfId="0" applyFont="1" applyFill="1" applyBorder="1" applyProtection="1">
      <protection locked="0"/>
    </xf>
    <xf numFmtId="0" fontId="10" fillId="2" borderId="4" xfId="0" applyFont="1" applyFill="1" applyBorder="1" applyProtection="1">
      <protection locked="0"/>
    </xf>
    <xf numFmtId="0" fontId="10" fillId="2" borderId="2" xfId="0" quotePrefix="1" applyFont="1" applyFill="1" applyBorder="1" applyAlignment="1" applyProtection="1">
      <alignment horizontal="left" shrinkToFit="1"/>
      <protection locked="0"/>
    </xf>
    <xf numFmtId="0" fontId="3" fillId="2" borderId="0" xfId="0" applyFont="1" applyFill="1" applyAlignment="1" applyProtection="1">
      <alignment horizontal="center"/>
      <protection locked="0"/>
    </xf>
    <xf numFmtId="0" fontId="10" fillId="2" borderId="1" xfId="0" applyFont="1" applyFill="1" applyBorder="1" applyAlignment="1" applyProtection="1">
      <alignment horizontal="left" vertical="top"/>
      <protection locked="0"/>
    </xf>
    <xf numFmtId="0" fontId="10" fillId="2" borderId="1" xfId="0" applyFont="1" applyFill="1" applyBorder="1" applyAlignment="1" applyProtection="1">
      <alignment horizontal="left"/>
      <protection locked="0"/>
    </xf>
    <xf numFmtId="0" fontId="9" fillId="2" borderId="1" xfId="0" applyFont="1" applyFill="1" applyBorder="1" applyProtection="1">
      <protection locked="0"/>
    </xf>
    <xf numFmtId="0" fontId="13" fillId="2" borderId="1" xfId="0" applyFont="1" applyFill="1" applyBorder="1" applyAlignment="1" applyProtection="1">
      <alignment horizontal="left" vertical="top"/>
      <protection locked="0"/>
    </xf>
    <xf numFmtId="165" fontId="10" fillId="2" borderId="2" xfId="0" applyNumberFormat="1" applyFont="1" applyFill="1" applyBorder="1" applyAlignment="1" applyProtection="1">
      <alignment horizontal="left" vertical="top" wrapText="1"/>
      <protection locked="0"/>
    </xf>
    <xf numFmtId="0" fontId="5" fillId="2" borderId="2" xfId="1" applyFill="1" applyBorder="1" applyAlignment="1" applyProtection="1">
      <alignment horizontal="left" vertical="top" wrapText="1"/>
      <protection locked="0"/>
    </xf>
    <xf numFmtId="0" fontId="5" fillId="2" borderId="3" xfId="1" applyFill="1" applyBorder="1" applyAlignment="1" applyProtection="1">
      <alignment horizontal="left" vertical="top" wrapText="1"/>
      <protection locked="0"/>
    </xf>
    <xf numFmtId="0" fontId="5" fillId="2" borderId="4" xfId="1" applyFill="1" applyBorder="1" applyAlignment="1" applyProtection="1">
      <alignment horizontal="left" vertical="top" wrapText="1"/>
      <protection locked="0"/>
    </xf>
    <xf numFmtId="0" fontId="14" fillId="3" borderId="8" xfId="0" applyFont="1" applyFill="1" applyBorder="1" applyAlignment="1">
      <alignment horizontal="left" vertical="top"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2" xfId="0" applyFont="1" applyFill="1" applyBorder="1" applyAlignment="1">
      <alignment horizontal="left" vertical="top" wrapText="1"/>
    </xf>
    <xf numFmtId="0" fontId="0" fillId="2" borderId="0" xfId="0" applyFill="1" applyBorder="1" applyProtection="1">
      <protection locked="0"/>
    </xf>
    <xf numFmtId="0" fontId="1" fillId="2" borderId="1" xfId="0" applyFont="1" applyFill="1" applyBorder="1" applyAlignment="1" applyProtection="1">
      <alignment horizontal="left"/>
      <protection locked="0"/>
    </xf>
    <xf numFmtId="0" fontId="1" fillId="2" borderId="1" xfId="0" applyNumberFormat="1" applyFont="1" applyFill="1" applyBorder="1" applyAlignment="1" applyProtection="1">
      <alignment horizontal="left"/>
      <protection locked="0"/>
    </xf>
    <xf numFmtId="164" fontId="1" fillId="2" borderId="1" xfId="0" applyNumberFormat="1" applyFont="1" applyFill="1" applyBorder="1" applyAlignment="1" applyProtection="1">
      <alignment horizontal="left" vertical="top"/>
    </xf>
    <xf numFmtId="164" fontId="1" fillId="2" borderId="1" xfId="0" applyNumberFormat="1" applyFont="1" applyFill="1" applyBorder="1" applyAlignment="1" applyProtection="1">
      <alignment horizontal="left" vertical="top" shrinkToFit="1"/>
      <protection locked="0"/>
    </xf>
    <xf numFmtId="164" fontId="1" fillId="2" borderId="1" xfId="0" applyNumberFormat="1" applyFont="1" applyFill="1" applyBorder="1" applyAlignment="1" applyProtection="1">
      <alignment horizontal="left" vertical="top" shrinkToFit="1"/>
    </xf>
    <xf numFmtId="0" fontId="1" fillId="2" borderId="1" xfId="0" applyFont="1" applyFill="1" applyBorder="1" applyAlignment="1" applyProtection="1">
      <alignment horizontal="left"/>
    </xf>
    <xf numFmtId="9" fontId="1" fillId="2" borderId="1" xfId="0" applyNumberFormat="1" applyFont="1" applyFill="1" applyBorder="1" applyAlignment="1" applyProtection="1">
      <alignment horizontal="left" vertical="top" shrinkToFit="1"/>
    </xf>
    <xf numFmtId="0" fontId="1" fillId="2" borderId="2" xfId="0" applyFont="1" applyFill="1" applyBorder="1" applyProtection="1">
      <protection locked="0"/>
    </xf>
    <xf numFmtId="0" fontId="1" fillId="2" borderId="3" xfId="0" applyFont="1" applyFill="1" applyBorder="1" applyProtection="1">
      <protection locked="0"/>
    </xf>
    <xf numFmtId="0" fontId="1" fillId="2" borderId="4" xfId="0" applyFont="1" applyFill="1" applyBorder="1" applyProtection="1">
      <protection locked="0"/>
    </xf>
    <xf numFmtId="0" fontId="1" fillId="2" borderId="1" xfId="0" applyFont="1" applyFill="1" applyBorder="1" applyAlignment="1" applyProtection="1">
      <alignment horizontal="left"/>
    </xf>
    <xf numFmtId="0" fontId="1" fillId="2" borderId="1" xfId="0" applyFont="1" applyFill="1" applyBorder="1" applyAlignment="1" applyProtection="1">
      <alignment horizontal="left"/>
      <protection locked="0"/>
    </xf>
    <xf numFmtId="0" fontId="1" fillId="2" borderId="2" xfId="0" quotePrefix="1" applyFont="1" applyFill="1" applyBorder="1" applyAlignment="1" applyProtection="1">
      <alignment horizontal="left" vertical="top" wrapText="1"/>
      <protection locked="0"/>
    </xf>
    <xf numFmtId="164" fontId="1" fillId="2" borderId="1" xfId="0" applyNumberFormat="1" applyFont="1" applyFill="1" applyBorder="1" applyAlignment="1" applyProtection="1">
      <alignment horizontal="left"/>
    </xf>
    <xf numFmtId="164" fontId="1" fillId="2" borderId="1" xfId="0" applyNumberFormat="1" applyFont="1" applyFill="1" applyBorder="1" applyAlignment="1" applyProtection="1">
      <alignment horizontal="left"/>
      <protection locked="0"/>
    </xf>
    <xf numFmtId="0" fontId="2" fillId="2" borderId="2" xfId="0" applyFont="1" applyFill="1" applyBorder="1" applyAlignment="1" applyProtection="1">
      <protection locked="0"/>
    </xf>
    <xf numFmtId="0" fontId="2" fillId="2" borderId="4" xfId="0" applyFont="1" applyFill="1" applyBorder="1" applyAlignment="1" applyProtection="1">
      <protection locked="0"/>
    </xf>
    <xf numFmtId="0" fontId="0" fillId="2" borderId="0" xfId="0" applyFill="1"/>
    <xf numFmtId="0" fontId="10" fillId="2" borderId="0" xfId="0" applyFont="1" applyFill="1" applyBorder="1" applyProtection="1">
      <protection locked="0"/>
    </xf>
    <xf numFmtId="0" fontId="10" fillId="2"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rchive.wizards.com/default.asp?x=dnd/mb/20050209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X753"/>
  <sheetViews>
    <sheetView showGridLines="0" tabSelected="1" topLeftCell="A190" zoomScaleNormal="100" workbookViewId="0">
      <selection activeCell="G212" sqref="G212"/>
    </sheetView>
  </sheetViews>
  <sheetFormatPr defaultRowHeight="15" x14ac:dyDescent="0.25"/>
  <cols>
    <col min="1" max="1" width="0.85546875" style="1" customWidth="1"/>
    <col min="2" max="27" width="9.140625" style="7"/>
    <col min="28" max="16384" width="9.140625" style="1"/>
  </cols>
  <sheetData>
    <row r="1" spans="2:27" ht="46.5" x14ac:dyDescent="0.7">
      <c r="B1" s="186" t="s">
        <v>788</v>
      </c>
      <c r="C1" s="186"/>
      <c r="D1" s="186"/>
      <c r="E1" s="186"/>
      <c r="F1" s="186"/>
      <c r="G1" s="186"/>
      <c r="H1" s="186"/>
      <c r="I1" s="186"/>
      <c r="J1" s="186"/>
      <c r="K1" s="186"/>
      <c r="L1" s="186"/>
      <c r="M1" s="186"/>
      <c r="N1" s="186"/>
      <c r="O1" s="186"/>
      <c r="P1" s="186"/>
      <c r="Q1" s="186"/>
      <c r="R1" s="186"/>
      <c r="S1" s="186"/>
      <c r="T1" s="186"/>
      <c r="U1" s="186"/>
      <c r="V1" s="186"/>
      <c r="W1" s="186"/>
      <c r="X1" s="186"/>
      <c r="Y1" s="186"/>
      <c r="Z1" s="186"/>
      <c r="AA1" s="1"/>
    </row>
    <row r="2" spans="2:27" x14ac:dyDescent="0.25">
      <c r="B2" s="1"/>
      <c r="C2" s="1"/>
      <c r="D2" s="1"/>
      <c r="E2" s="1"/>
      <c r="F2" s="1"/>
      <c r="G2" s="1"/>
      <c r="H2" s="1"/>
      <c r="I2" s="1"/>
      <c r="J2" s="1"/>
      <c r="K2" s="1"/>
      <c r="L2" s="1"/>
      <c r="M2" s="1"/>
      <c r="N2" s="1"/>
      <c r="O2" s="1"/>
      <c r="P2" s="1"/>
      <c r="Q2" s="1"/>
      <c r="R2" s="1"/>
      <c r="S2" s="1"/>
      <c r="T2" s="1"/>
      <c r="U2" s="1"/>
      <c r="V2" s="1"/>
      <c r="W2" s="1"/>
      <c r="X2" s="1"/>
      <c r="Y2" s="1"/>
      <c r="Z2" s="1"/>
      <c r="AA2" s="1"/>
    </row>
    <row r="3" spans="2:27" x14ac:dyDescent="0.25">
      <c r="B3" s="1"/>
      <c r="C3" s="1"/>
      <c r="D3" s="1"/>
      <c r="E3" s="1"/>
      <c r="F3" s="1"/>
      <c r="G3" s="1"/>
      <c r="H3" s="1"/>
      <c r="I3" s="1"/>
      <c r="J3" s="1"/>
      <c r="K3" s="1"/>
      <c r="L3" s="1"/>
      <c r="M3" s="1"/>
      <c r="N3" s="1"/>
      <c r="O3" s="1"/>
      <c r="P3" s="1"/>
      <c r="Q3" s="1"/>
      <c r="R3" s="1"/>
      <c r="S3" s="1"/>
      <c r="T3" s="1"/>
      <c r="U3" s="1"/>
      <c r="V3" s="1"/>
      <c r="W3" s="1"/>
      <c r="X3" s="1"/>
      <c r="Y3" s="1"/>
      <c r="Z3" s="1"/>
      <c r="AA3" s="1"/>
    </row>
    <row r="4" spans="2:27" ht="28.5" x14ac:dyDescent="0.45">
      <c r="B4" s="179" t="s">
        <v>0</v>
      </c>
      <c r="C4" s="179"/>
      <c r="D4" s="179"/>
      <c r="E4" s="179"/>
      <c r="F4" s="1"/>
      <c r="G4" s="1"/>
      <c r="H4" s="1"/>
      <c r="I4" s="1"/>
      <c r="J4" s="1"/>
      <c r="K4" s="1"/>
      <c r="L4" s="1"/>
      <c r="M4" s="1"/>
      <c r="N4" s="1"/>
      <c r="O4" s="1"/>
      <c r="P4" s="1"/>
      <c r="Q4" s="1"/>
      <c r="R4" s="1"/>
      <c r="S4" s="1"/>
      <c r="T4" s="1"/>
      <c r="U4" s="1"/>
      <c r="V4" s="1"/>
      <c r="W4" s="1"/>
      <c r="X4" s="1"/>
      <c r="Y4" s="1"/>
      <c r="Z4" s="1"/>
      <c r="AA4" s="1"/>
    </row>
    <row r="5" spans="2:27" x14ac:dyDescent="0.25">
      <c r="B5" s="1"/>
      <c r="C5" s="1"/>
      <c r="D5" s="1"/>
      <c r="E5" s="1"/>
      <c r="F5" s="1"/>
      <c r="G5" s="1"/>
      <c r="H5" s="1"/>
      <c r="I5" s="1"/>
      <c r="J5" s="1"/>
      <c r="K5" s="1"/>
      <c r="L5" s="1"/>
      <c r="M5" s="1"/>
      <c r="N5" s="1"/>
      <c r="O5" s="1"/>
      <c r="P5" s="1"/>
      <c r="Q5" s="1"/>
      <c r="R5" s="1"/>
      <c r="S5" s="1"/>
      <c r="T5" s="1"/>
      <c r="U5" s="1"/>
      <c r="V5" s="1"/>
      <c r="W5" s="1"/>
      <c r="X5" s="1"/>
      <c r="Y5" s="1"/>
      <c r="Z5" s="1"/>
      <c r="AA5" s="1"/>
    </row>
    <row r="6" spans="2:27" x14ac:dyDescent="0.25">
      <c r="B6" s="39" t="s">
        <v>18</v>
      </c>
      <c r="C6" s="182"/>
      <c r="D6" s="183"/>
      <c r="E6" s="183"/>
      <c r="F6" s="184"/>
      <c r="G6" s="1"/>
      <c r="H6" s="1"/>
      <c r="I6" s="1"/>
      <c r="J6" s="1"/>
      <c r="K6" s="1"/>
      <c r="L6" s="1"/>
      <c r="M6" s="1"/>
      <c r="N6" s="1"/>
      <c r="O6" s="1"/>
      <c r="P6" s="1"/>
      <c r="Q6" s="1"/>
      <c r="R6" s="1"/>
      <c r="S6" s="1"/>
      <c r="T6" s="1"/>
      <c r="U6" s="1"/>
      <c r="V6" s="1"/>
      <c r="W6" s="1"/>
      <c r="X6" s="1"/>
      <c r="Y6" s="1"/>
      <c r="Z6" s="1"/>
      <c r="AA6" s="1"/>
    </row>
    <row r="7" spans="2:27" x14ac:dyDescent="0.25">
      <c r="B7" s="3"/>
      <c r="C7" s="3"/>
      <c r="D7" s="3"/>
      <c r="E7" s="3"/>
      <c r="F7" s="49"/>
      <c r="G7" s="1"/>
      <c r="H7" s="1"/>
      <c r="I7" s="1"/>
      <c r="J7" s="1"/>
      <c r="K7" s="1"/>
      <c r="L7" s="1"/>
      <c r="M7" s="1"/>
      <c r="N7" s="1"/>
      <c r="O7" s="1"/>
      <c r="P7" s="1"/>
      <c r="Q7" s="1"/>
      <c r="R7" s="1"/>
      <c r="S7" s="1"/>
      <c r="T7" s="1"/>
      <c r="U7" s="1"/>
      <c r="V7" s="1"/>
      <c r="W7" s="1"/>
      <c r="X7" s="1"/>
      <c r="Y7" s="1"/>
      <c r="Z7" s="1"/>
      <c r="AA7" s="1"/>
    </row>
    <row r="8" spans="2:27" s="5" customFormat="1" ht="28.5" x14ac:dyDescent="0.45">
      <c r="B8" s="23" t="s">
        <v>2</v>
      </c>
      <c r="C8" s="33"/>
      <c r="D8" s="33"/>
      <c r="E8" s="33"/>
    </row>
    <row r="9" spans="2:27" x14ac:dyDescent="0.25">
      <c r="B9" s="34"/>
      <c r="C9" s="34"/>
      <c r="D9" s="34"/>
      <c r="E9" s="34"/>
      <c r="F9" s="1"/>
      <c r="G9" s="1"/>
      <c r="H9" s="1"/>
      <c r="I9" s="1"/>
      <c r="J9" s="1"/>
      <c r="K9" s="1"/>
      <c r="L9" s="1"/>
      <c r="M9" s="1"/>
      <c r="N9" s="1"/>
      <c r="O9" s="1"/>
      <c r="P9" s="1"/>
      <c r="Q9" s="1"/>
      <c r="R9" s="1"/>
      <c r="S9" s="1"/>
      <c r="T9" s="1"/>
      <c r="U9" s="1"/>
      <c r="V9" s="1"/>
      <c r="W9" s="1"/>
      <c r="X9" s="1"/>
      <c r="Y9" s="1"/>
      <c r="Z9" s="1"/>
      <c r="AA9" s="1"/>
    </row>
    <row r="10" spans="2:27" x14ac:dyDescent="0.25">
      <c r="B10" s="155" t="str">
        <f>B26</f>
        <v>Character Information</v>
      </c>
      <c r="C10" s="155"/>
      <c r="D10" s="155"/>
      <c r="E10" s="155"/>
      <c r="F10" s="1"/>
      <c r="G10" s="1"/>
      <c r="H10" s="1"/>
      <c r="I10" s="1"/>
      <c r="J10" s="1"/>
      <c r="K10" s="1"/>
      <c r="L10" s="1"/>
      <c r="M10" s="1"/>
      <c r="N10" s="1"/>
      <c r="O10" s="1"/>
      <c r="P10" s="1"/>
      <c r="Q10" s="1"/>
      <c r="R10" s="1"/>
      <c r="S10" s="1"/>
      <c r="T10" s="1"/>
      <c r="U10" s="1"/>
      <c r="V10" s="1"/>
      <c r="W10" s="1"/>
      <c r="X10" s="1"/>
      <c r="Y10" s="1"/>
      <c r="Z10" s="1"/>
      <c r="AA10" s="1"/>
    </row>
    <row r="11" spans="2:27" x14ac:dyDescent="0.25">
      <c r="B11" s="155" t="str">
        <f>B43</f>
        <v>History and General Information</v>
      </c>
      <c r="C11" s="155"/>
      <c r="D11" s="155"/>
      <c r="E11" s="155"/>
      <c r="F11" s="1"/>
      <c r="G11" s="1"/>
      <c r="H11" s="1"/>
      <c r="I11" s="1"/>
      <c r="J11" s="1"/>
      <c r="K11" s="1"/>
      <c r="L11" s="1"/>
      <c r="M11" s="1"/>
      <c r="N11" s="1"/>
      <c r="O11" s="1"/>
      <c r="P11" s="1"/>
      <c r="Q11" s="1"/>
      <c r="R11" s="1"/>
      <c r="S11" s="1"/>
      <c r="T11" s="1"/>
      <c r="U11" s="1"/>
      <c r="V11" s="1"/>
      <c r="W11" s="1"/>
      <c r="X11" s="1"/>
      <c r="Y11" s="1"/>
      <c r="Z11" s="1"/>
      <c r="AA11" s="1"/>
    </row>
    <row r="12" spans="2:27" x14ac:dyDescent="0.25">
      <c r="B12" s="155" t="str">
        <f>B62</f>
        <v>Ability Scores</v>
      </c>
      <c r="C12" s="155"/>
      <c r="D12" s="155"/>
      <c r="E12" s="155"/>
      <c r="F12" s="1"/>
      <c r="G12" s="1"/>
      <c r="H12" s="1"/>
      <c r="I12" s="1"/>
      <c r="J12" s="1"/>
      <c r="K12" s="1"/>
      <c r="L12" s="1"/>
      <c r="M12" s="1"/>
      <c r="N12" s="1"/>
      <c r="O12" s="1"/>
      <c r="P12" s="1"/>
      <c r="Q12" s="1"/>
      <c r="R12" s="1"/>
      <c r="S12" s="1"/>
      <c r="T12" s="1"/>
      <c r="U12" s="1"/>
      <c r="V12" s="1"/>
      <c r="W12" s="1"/>
      <c r="X12" s="1"/>
      <c r="Y12" s="1"/>
      <c r="Z12" s="1"/>
      <c r="AA12" s="1"/>
    </row>
    <row r="13" spans="2:27" x14ac:dyDescent="0.25">
      <c r="B13" s="155" t="str">
        <f>B72</f>
        <v>Saving Throws and Spell Resistance</v>
      </c>
      <c r="C13" s="155"/>
      <c r="D13" s="155"/>
      <c r="E13" s="155"/>
      <c r="F13" s="1"/>
      <c r="G13" s="1"/>
      <c r="H13" s="1"/>
      <c r="I13" s="1"/>
      <c r="J13" s="1"/>
      <c r="K13" s="1"/>
      <c r="L13" s="1"/>
      <c r="M13" s="1"/>
      <c r="N13" s="1"/>
      <c r="O13" s="1"/>
      <c r="P13" s="1"/>
      <c r="Q13" s="1"/>
      <c r="R13" s="1"/>
      <c r="S13" s="1"/>
      <c r="T13" s="1"/>
      <c r="U13" s="1"/>
      <c r="V13" s="1"/>
      <c r="W13" s="1"/>
      <c r="X13" s="1"/>
      <c r="Y13" s="1"/>
      <c r="Z13" s="1"/>
      <c r="AA13" s="1"/>
    </row>
    <row r="14" spans="2:27" x14ac:dyDescent="0.25">
      <c r="B14" s="155" t="str">
        <f>B80</f>
        <v>Arms &amp; Equipment</v>
      </c>
      <c r="C14" s="155"/>
      <c r="D14" s="155"/>
      <c r="E14" s="155"/>
      <c r="F14" s="1"/>
      <c r="G14" s="1"/>
      <c r="H14" s="1"/>
      <c r="I14" s="1"/>
      <c r="J14" s="1"/>
      <c r="K14" s="1"/>
      <c r="L14" s="1"/>
      <c r="M14" s="1"/>
      <c r="N14" s="1"/>
      <c r="O14" s="1"/>
      <c r="P14" s="1"/>
      <c r="Q14" s="1"/>
      <c r="R14" s="1"/>
      <c r="S14" s="1"/>
      <c r="T14" s="1"/>
      <c r="U14" s="1"/>
      <c r="V14" s="1"/>
      <c r="W14" s="1"/>
      <c r="X14" s="1"/>
      <c r="Y14" s="1"/>
      <c r="Z14" s="1"/>
      <c r="AA14" s="1"/>
    </row>
    <row r="15" spans="2:27" x14ac:dyDescent="0.25">
      <c r="B15" s="155" t="str">
        <f>B204</f>
        <v>Magical Equipment Descriptions</v>
      </c>
      <c r="C15" s="155"/>
      <c r="D15" s="155"/>
      <c r="E15" s="155"/>
      <c r="F15" s="1"/>
      <c r="G15" s="1"/>
      <c r="H15" s="1"/>
      <c r="I15" s="1"/>
      <c r="J15" s="1"/>
      <c r="K15" s="1"/>
      <c r="L15" s="1"/>
      <c r="M15" s="1"/>
      <c r="N15" s="1"/>
      <c r="O15" s="1"/>
      <c r="P15" s="1"/>
      <c r="Q15" s="1"/>
      <c r="R15" s="1"/>
      <c r="S15" s="1"/>
      <c r="T15" s="1"/>
      <c r="U15" s="1"/>
      <c r="V15" s="1"/>
      <c r="W15" s="1"/>
      <c r="X15" s="1"/>
      <c r="Y15" s="1"/>
      <c r="Z15" s="1"/>
      <c r="AA15" s="1"/>
    </row>
    <row r="16" spans="2:27" x14ac:dyDescent="0.25">
      <c r="B16" s="155" t="str">
        <f>B208</f>
        <v>Combat</v>
      </c>
      <c r="C16" s="155"/>
      <c r="D16" s="155"/>
      <c r="E16" s="155"/>
      <c r="F16" s="1"/>
      <c r="G16" s="1"/>
      <c r="H16" s="1"/>
      <c r="I16" s="1"/>
      <c r="J16" s="1"/>
      <c r="K16" s="1"/>
      <c r="L16" s="1"/>
      <c r="M16" s="1"/>
      <c r="N16" s="1"/>
      <c r="O16" s="1"/>
      <c r="P16" s="1"/>
      <c r="Q16" s="1"/>
      <c r="R16" s="1"/>
      <c r="S16" s="1"/>
      <c r="T16" s="1"/>
      <c r="U16" s="1"/>
      <c r="V16" s="1"/>
      <c r="W16" s="1"/>
      <c r="X16" s="1"/>
      <c r="Y16" s="1"/>
      <c r="Z16" s="1"/>
      <c r="AA16" s="1"/>
    </row>
    <row r="17" spans="2:27" x14ac:dyDescent="0.25">
      <c r="B17" s="155" t="str">
        <f>B224</f>
        <v>Racial/Class/Special Abilities</v>
      </c>
      <c r="C17" s="155"/>
      <c r="D17" s="155"/>
      <c r="E17" s="155"/>
      <c r="F17" s="1"/>
      <c r="G17" s="1"/>
      <c r="H17" s="1"/>
      <c r="I17" s="1"/>
      <c r="J17" s="1"/>
      <c r="K17" s="1"/>
      <c r="L17" s="1"/>
      <c r="M17" s="1"/>
      <c r="N17" s="1"/>
      <c r="O17" s="1"/>
      <c r="P17" s="1"/>
      <c r="Q17" s="1"/>
      <c r="R17" s="1"/>
      <c r="S17" s="1"/>
      <c r="T17" s="1"/>
      <c r="U17" s="1"/>
      <c r="V17" s="1"/>
      <c r="W17" s="1"/>
      <c r="X17" s="1"/>
      <c r="Y17" s="1"/>
      <c r="Z17" s="1"/>
      <c r="AA17" s="1"/>
    </row>
    <row r="18" spans="2:27" x14ac:dyDescent="0.25">
      <c r="B18" s="155" t="str">
        <f>B261</f>
        <v>Feats/Flaws/Skills/Languages</v>
      </c>
      <c r="C18" s="155"/>
      <c r="D18" s="155"/>
      <c r="E18" s="155"/>
      <c r="F18" s="1"/>
      <c r="G18" s="1"/>
      <c r="H18" s="1"/>
      <c r="I18" s="1"/>
      <c r="J18" s="1"/>
      <c r="K18" s="1"/>
      <c r="L18" s="1"/>
      <c r="M18" s="1"/>
      <c r="N18" s="1"/>
      <c r="O18" s="1"/>
      <c r="P18" s="1"/>
      <c r="Q18" s="1"/>
      <c r="R18" s="1"/>
      <c r="S18" s="1"/>
      <c r="T18" s="1"/>
      <c r="U18" s="1"/>
      <c r="V18" s="1"/>
      <c r="W18" s="1"/>
      <c r="X18" s="1"/>
      <c r="Y18" s="1"/>
      <c r="Z18" s="1"/>
      <c r="AA18" s="1"/>
    </row>
    <row r="19" spans="2:27" x14ac:dyDescent="0.25">
      <c r="B19" s="155" t="str">
        <f xml:space="preserve"> B345</f>
        <v>General Notes</v>
      </c>
      <c r="C19" s="155"/>
      <c r="D19" s="155"/>
      <c r="E19" s="155"/>
      <c r="F19" s="1"/>
      <c r="G19" s="1"/>
      <c r="H19" s="1"/>
      <c r="I19" s="1"/>
      <c r="J19" s="1"/>
      <c r="K19" s="1"/>
      <c r="L19" s="1"/>
      <c r="M19" s="1"/>
      <c r="N19" s="1"/>
      <c r="O19" s="1"/>
      <c r="P19" s="1"/>
      <c r="Q19" s="1"/>
      <c r="R19" s="1"/>
      <c r="S19" s="1"/>
      <c r="T19" s="1"/>
      <c r="U19" s="1"/>
      <c r="V19" s="1"/>
      <c r="W19" s="1"/>
      <c r="X19" s="1"/>
      <c r="Y19" s="1"/>
      <c r="Z19" s="1"/>
      <c r="AA19" s="1"/>
    </row>
    <row r="20" spans="2:27" x14ac:dyDescent="0.25">
      <c r="B20" s="155" t="str">
        <f>B372</f>
        <v>Active Effects</v>
      </c>
      <c r="C20" s="155"/>
      <c r="D20" s="155"/>
      <c r="E20" s="155"/>
      <c r="F20" s="1"/>
      <c r="G20" s="1"/>
      <c r="H20" s="1"/>
      <c r="I20" s="1"/>
      <c r="J20" s="1"/>
      <c r="K20" s="1"/>
      <c r="L20" s="1"/>
      <c r="M20" s="1"/>
      <c r="N20" s="1"/>
      <c r="O20" s="1"/>
      <c r="P20" s="1"/>
      <c r="Q20" s="1"/>
      <c r="R20" s="1"/>
      <c r="S20" s="1"/>
      <c r="T20" s="1"/>
      <c r="U20" s="1"/>
      <c r="V20" s="1"/>
      <c r="W20" s="1"/>
      <c r="X20" s="1"/>
      <c r="Y20" s="1"/>
      <c r="Z20" s="1"/>
      <c r="AA20" s="1"/>
    </row>
    <row r="21" spans="2:27" x14ac:dyDescent="0.25">
      <c r="B21" s="155" t="str">
        <f>B469</f>
        <v>Invocations</v>
      </c>
      <c r="C21" s="155"/>
      <c r="D21" s="155"/>
      <c r="E21" s="155"/>
      <c r="F21" s="1"/>
      <c r="G21" s="1"/>
      <c r="H21" s="1"/>
      <c r="I21" s="1"/>
      <c r="J21" s="1"/>
      <c r="K21" s="1"/>
      <c r="L21" s="1"/>
      <c r="M21" s="1"/>
      <c r="N21" s="1"/>
      <c r="O21" s="1"/>
      <c r="P21" s="1"/>
      <c r="Q21" s="1"/>
      <c r="R21" s="1"/>
      <c r="S21" s="1"/>
      <c r="T21" s="1"/>
      <c r="U21" s="1"/>
      <c r="V21" s="1"/>
      <c r="W21" s="1"/>
      <c r="X21" s="1"/>
      <c r="Y21" s="1"/>
      <c r="Z21" s="1"/>
      <c r="AA21" s="1"/>
    </row>
    <row r="22" spans="2:27" x14ac:dyDescent="0.25">
      <c r="B22" s="155" t="str">
        <f>B480</f>
        <v>Vestige Abilities</v>
      </c>
      <c r="C22" s="155"/>
      <c r="D22" s="155"/>
      <c r="E22" s="155"/>
      <c r="F22" s="1"/>
      <c r="G22" s="1"/>
      <c r="H22" s="1"/>
      <c r="I22" s="1"/>
      <c r="J22" s="1"/>
      <c r="K22" s="1"/>
      <c r="L22" s="1"/>
      <c r="M22" s="1"/>
      <c r="N22" s="1"/>
      <c r="O22" s="1"/>
      <c r="P22" s="1"/>
      <c r="Q22" s="1"/>
      <c r="R22" s="1"/>
      <c r="S22" s="1"/>
      <c r="T22" s="1"/>
      <c r="U22" s="1"/>
      <c r="V22" s="1"/>
      <c r="W22" s="1"/>
      <c r="X22" s="1"/>
      <c r="Y22" s="1"/>
      <c r="Z22" s="1"/>
      <c r="AA22" s="1"/>
    </row>
    <row r="23" spans="2:27" x14ac:dyDescent="0.25">
      <c r="B23" s="155" t="str">
        <f>B709</f>
        <v>Soulmelds</v>
      </c>
      <c r="C23" s="155"/>
      <c r="D23" s="155"/>
      <c r="E23" s="155"/>
      <c r="F23" s="1"/>
      <c r="G23" s="1"/>
      <c r="H23" s="1"/>
      <c r="I23" s="1"/>
      <c r="J23" s="1"/>
      <c r="K23" s="1"/>
      <c r="L23" s="1"/>
      <c r="M23" s="1"/>
      <c r="N23" s="1"/>
      <c r="O23" s="1"/>
      <c r="P23" s="1"/>
      <c r="Q23" s="1"/>
      <c r="R23" s="1"/>
      <c r="S23" s="1"/>
      <c r="T23" s="1"/>
      <c r="U23" s="1"/>
      <c r="V23" s="1"/>
      <c r="W23" s="1"/>
      <c r="X23" s="1"/>
      <c r="Y23" s="1"/>
      <c r="Z23" s="1"/>
      <c r="AA23" s="1"/>
    </row>
    <row r="24" spans="2:27" x14ac:dyDescent="0.25">
      <c r="B24" s="155" t="str">
        <f>B752</f>
        <v>End of Line</v>
      </c>
      <c r="C24" s="155"/>
      <c r="D24" s="155"/>
      <c r="E24" s="155"/>
      <c r="F24" s="1"/>
      <c r="G24" s="1"/>
      <c r="H24" s="1"/>
      <c r="I24" s="1"/>
      <c r="J24" s="1"/>
      <c r="K24" s="1"/>
      <c r="L24" s="1"/>
      <c r="M24" s="1"/>
      <c r="N24" s="1"/>
      <c r="O24" s="1"/>
      <c r="P24" s="1"/>
      <c r="Q24" s="1"/>
      <c r="R24" s="1"/>
      <c r="S24" s="1"/>
      <c r="T24" s="1"/>
      <c r="U24" s="1"/>
      <c r="V24" s="1"/>
      <c r="W24" s="1"/>
      <c r="X24" s="1"/>
      <c r="Y24" s="1"/>
      <c r="Z24" s="1"/>
      <c r="AA24" s="1"/>
    </row>
    <row r="25" spans="2:27"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row>
    <row r="26" spans="2:27" s="5" customFormat="1" ht="28.5" x14ac:dyDescent="0.45">
      <c r="B26" s="23" t="s">
        <v>3</v>
      </c>
    </row>
    <row r="27" spans="2:27"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row>
    <row r="28" spans="2:27" x14ac:dyDescent="0.25">
      <c r="B28" s="164" t="s">
        <v>4</v>
      </c>
      <c r="C28" s="164"/>
      <c r="D28" s="90" t="s">
        <v>795</v>
      </c>
      <c r="E28" s="91"/>
      <c r="F28" s="92"/>
      <c r="G28" s="1"/>
      <c r="H28" s="34"/>
      <c r="I28" s="1"/>
      <c r="J28" s="1"/>
      <c r="K28" s="1"/>
      <c r="L28" s="1"/>
      <c r="M28" s="1"/>
      <c r="N28" s="1"/>
      <c r="O28" s="1"/>
      <c r="P28" s="1"/>
      <c r="Q28" s="1"/>
      <c r="R28" s="1"/>
      <c r="S28" s="1"/>
      <c r="T28" s="1"/>
      <c r="U28" s="1"/>
      <c r="V28" s="1"/>
      <c r="W28" s="1"/>
      <c r="X28" s="1"/>
      <c r="Y28" s="1"/>
      <c r="Z28" s="1"/>
      <c r="AA28" s="1"/>
    </row>
    <row r="29" spans="2:27" x14ac:dyDescent="0.25">
      <c r="B29" s="164" t="s">
        <v>5</v>
      </c>
      <c r="C29" s="164"/>
      <c r="D29" s="90" t="s">
        <v>796</v>
      </c>
      <c r="E29" s="91"/>
      <c r="F29" s="92"/>
      <c r="G29" s="1"/>
      <c r="H29" s="1"/>
      <c r="I29" s="1"/>
      <c r="J29" s="1"/>
      <c r="K29" s="1"/>
      <c r="L29" s="1"/>
      <c r="M29" s="1"/>
      <c r="N29" s="1"/>
      <c r="O29" s="1"/>
      <c r="P29" s="1"/>
      <c r="Q29" s="1"/>
      <c r="R29" s="1"/>
      <c r="S29" s="1"/>
      <c r="T29" s="1"/>
      <c r="U29" s="1"/>
      <c r="V29" s="1"/>
      <c r="W29" s="1"/>
      <c r="X29" s="1"/>
      <c r="Y29" s="1"/>
      <c r="Z29" s="1"/>
      <c r="AA29" s="1"/>
    </row>
    <row r="30" spans="2:27" x14ac:dyDescent="0.25">
      <c r="B30" s="164" t="s">
        <v>208</v>
      </c>
      <c r="C30" s="164"/>
      <c r="D30" s="90" t="s">
        <v>797</v>
      </c>
      <c r="E30" s="91"/>
      <c r="F30" s="92"/>
      <c r="G30" s="1"/>
      <c r="H30" s="1"/>
      <c r="I30" s="1"/>
      <c r="J30" s="1"/>
      <c r="K30" s="1"/>
      <c r="L30" s="1"/>
      <c r="M30" s="1"/>
      <c r="N30" s="1"/>
      <c r="O30" s="1"/>
      <c r="P30" s="1"/>
      <c r="Q30" s="1"/>
      <c r="R30" s="1"/>
      <c r="S30" s="1"/>
      <c r="T30" s="1"/>
      <c r="U30" s="1"/>
      <c r="V30" s="1"/>
      <c r="W30" s="1"/>
      <c r="X30" s="1"/>
      <c r="Y30" s="1"/>
      <c r="Z30" s="1"/>
      <c r="AA30" s="1"/>
    </row>
    <row r="31" spans="2:27" x14ac:dyDescent="0.25">
      <c r="B31" s="164" t="s">
        <v>6</v>
      </c>
      <c r="C31" s="164"/>
      <c r="D31" s="90"/>
      <c r="E31" s="91"/>
      <c r="F31" s="92"/>
      <c r="G31" s="1"/>
      <c r="H31" s="1"/>
      <c r="I31" s="1"/>
      <c r="J31" s="1"/>
      <c r="K31" s="1"/>
      <c r="L31" s="1"/>
      <c r="M31" s="1"/>
      <c r="N31" s="1"/>
      <c r="O31" s="1"/>
      <c r="P31" s="1"/>
      <c r="Q31" s="1"/>
      <c r="R31" s="1"/>
      <c r="S31" s="1"/>
      <c r="T31" s="1"/>
      <c r="U31" s="1"/>
      <c r="V31" s="1"/>
      <c r="W31" s="1"/>
      <c r="X31" s="1"/>
      <c r="Y31" s="1"/>
      <c r="Z31" s="1"/>
      <c r="AA31" s="1"/>
    </row>
    <row r="32" spans="2:27" x14ac:dyDescent="0.25">
      <c r="B32" s="180" t="s">
        <v>206</v>
      </c>
      <c r="C32" s="181"/>
      <c r="D32" s="90"/>
      <c r="E32" s="91"/>
      <c r="F32" s="92"/>
      <c r="G32" s="1"/>
      <c r="H32" s="1"/>
      <c r="I32" s="1"/>
      <c r="J32" s="1"/>
      <c r="K32" s="1"/>
      <c r="L32" s="1"/>
      <c r="M32" s="1"/>
      <c r="N32" s="1"/>
      <c r="O32" s="1"/>
      <c r="P32" s="1"/>
      <c r="Q32" s="1"/>
      <c r="R32" s="1"/>
      <c r="S32" s="1"/>
      <c r="T32" s="1"/>
      <c r="U32" s="1"/>
      <c r="V32" s="1"/>
      <c r="W32" s="1"/>
      <c r="X32" s="1"/>
      <c r="Y32" s="1"/>
      <c r="Z32" s="1"/>
      <c r="AA32" s="1"/>
    </row>
    <row r="33" spans="2:27" x14ac:dyDescent="0.25">
      <c r="B33" s="164" t="s">
        <v>7</v>
      </c>
      <c r="C33" s="164"/>
      <c r="D33" s="90" t="s">
        <v>798</v>
      </c>
      <c r="E33" s="91"/>
      <c r="F33" s="92"/>
      <c r="G33" s="1"/>
      <c r="H33" s="1"/>
      <c r="I33" s="1"/>
      <c r="J33" s="1"/>
      <c r="K33" s="1"/>
      <c r="L33" s="1"/>
      <c r="M33" s="1"/>
      <c r="N33" s="1"/>
      <c r="O33" s="1"/>
      <c r="P33" s="1"/>
      <c r="Q33" s="1"/>
      <c r="R33" s="1"/>
      <c r="S33" s="1"/>
      <c r="T33" s="1"/>
      <c r="U33" s="1"/>
      <c r="V33" s="1"/>
      <c r="W33" s="1"/>
      <c r="X33" s="1"/>
      <c r="Y33" s="1"/>
      <c r="Z33" s="1"/>
      <c r="AA33" s="1"/>
    </row>
    <row r="34" spans="2:27" x14ac:dyDescent="0.25">
      <c r="B34" s="164" t="s">
        <v>8</v>
      </c>
      <c r="C34" s="164"/>
      <c r="D34" s="159">
        <f>SUM(F349:F369)</f>
        <v>59</v>
      </c>
      <c r="E34" s="160"/>
      <c r="F34" s="161"/>
      <c r="G34" s="1"/>
      <c r="H34" s="1"/>
      <c r="I34" s="1"/>
      <c r="J34" s="1"/>
      <c r="K34" s="1"/>
      <c r="L34" s="1"/>
      <c r="M34" s="1"/>
      <c r="N34" s="1"/>
      <c r="O34" s="1"/>
      <c r="P34" s="1"/>
      <c r="Q34" s="1"/>
      <c r="R34" s="1"/>
      <c r="S34" s="1"/>
      <c r="T34" s="1"/>
      <c r="U34" s="1"/>
      <c r="V34" s="1"/>
      <c r="W34" s="1"/>
      <c r="X34" s="1"/>
      <c r="Y34" s="1"/>
      <c r="Z34" s="1"/>
      <c r="AA34" s="1"/>
    </row>
    <row r="35" spans="2:27" x14ac:dyDescent="0.25">
      <c r="B35" s="164" t="s">
        <v>200</v>
      </c>
      <c r="C35" s="164"/>
      <c r="D35" s="90">
        <v>0</v>
      </c>
      <c r="E35" s="91"/>
      <c r="F35" s="92"/>
      <c r="G35" s="1"/>
      <c r="H35" s="1"/>
      <c r="I35" s="1"/>
      <c r="J35" s="1"/>
      <c r="K35" s="1"/>
      <c r="L35" s="1"/>
      <c r="M35" s="1"/>
      <c r="N35" s="1"/>
      <c r="O35" s="1"/>
      <c r="P35" s="1"/>
      <c r="Q35" s="1"/>
      <c r="R35" s="1"/>
      <c r="S35" s="1"/>
      <c r="T35" s="1"/>
      <c r="U35" s="1"/>
      <c r="V35" s="1"/>
      <c r="W35" s="1"/>
      <c r="X35" s="1"/>
      <c r="Y35" s="1"/>
      <c r="Z35" s="1"/>
      <c r="AA35" s="1"/>
    </row>
    <row r="36" spans="2:27" x14ac:dyDescent="0.25">
      <c r="B36" s="164" t="s">
        <v>9</v>
      </c>
      <c r="C36" s="164"/>
      <c r="D36" s="165">
        <f>(D34-D35)</f>
        <v>59</v>
      </c>
      <c r="E36" s="166"/>
      <c r="F36" s="167"/>
      <c r="G36" s="1"/>
      <c r="H36" s="1"/>
      <c r="I36" s="1"/>
      <c r="J36" s="1"/>
      <c r="K36" s="1"/>
      <c r="L36" s="1"/>
      <c r="M36" s="1"/>
      <c r="N36" s="1"/>
      <c r="O36" s="1"/>
      <c r="P36" s="1"/>
      <c r="Q36" s="1"/>
      <c r="R36" s="1"/>
      <c r="S36" s="1"/>
      <c r="T36" s="1"/>
      <c r="U36" s="1"/>
      <c r="V36" s="1"/>
      <c r="W36" s="1"/>
      <c r="X36" s="1"/>
      <c r="Y36" s="1"/>
      <c r="Z36" s="1"/>
      <c r="AA36" s="1"/>
    </row>
    <row r="37" spans="2:27" x14ac:dyDescent="0.25">
      <c r="B37" s="164" t="s">
        <v>749</v>
      </c>
      <c r="C37" s="164"/>
      <c r="D37" s="90"/>
      <c r="E37" s="91"/>
      <c r="F37" s="92"/>
      <c r="G37" s="1"/>
      <c r="H37" s="1"/>
      <c r="I37" s="1"/>
      <c r="J37" s="1"/>
      <c r="K37" s="1"/>
      <c r="L37" s="1"/>
      <c r="M37" s="1"/>
      <c r="N37" s="1"/>
      <c r="O37" s="1"/>
      <c r="P37" s="1"/>
      <c r="Q37" s="1"/>
      <c r="R37" s="1"/>
      <c r="S37" s="1"/>
      <c r="T37" s="1"/>
      <c r="U37" s="1"/>
      <c r="V37" s="1"/>
      <c r="W37" s="1"/>
      <c r="X37" s="1"/>
      <c r="Y37" s="1"/>
      <c r="Z37" s="1"/>
      <c r="AA37" s="1"/>
    </row>
    <row r="38" spans="2:27" x14ac:dyDescent="0.25">
      <c r="B38" s="164" t="s">
        <v>11</v>
      </c>
      <c r="C38" s="164"/>
      <c r="D38" s="90"/>
      <c r="E38" s="91"/>
      <c r="F38" s="92"/>
      <c r="G38" s="1"/>
      <c r="H38" s="1"/>
      <c r="I38" s="1"/>
      <c r="J38" s="1"/>
      <c r="K38" s="1"/>
      <c r="L38" s="1"/>
      <c r="M38" s="1"/>
      <c r="N38" s="1"/>
      <c r="O38" s="1"/>
      <c r="P38" s="1"/>
      <c r="Q38" s="1"/>
      <c r="R38" s="1"/>
      <c r="S38" s="1"/>
      <c r="T38" s="1"/>
      <c r="U38" s="1"/>
      <c r="V38" s="1"/>
      <c r="W38" s="1"/>
      <c r="X38" s="1"/>
      <c r="Y38" s="1"/>
      <c r="Z38" s="1"/>
      <c r="AA38" s="1"/>
    </row>
    <row r="39" spans="2:27" x14ac:dyDescent="0.25">
      <c r="B39" s="164" t="s">
        <v>12</v>
      </c>
      <c r="C39" s="164"/>
      <c r="D39" s="90"/>
      <c r="E39" s="91"/>
      <c r="F39" s="92"/>
      <c r="G39" s="1"/>
      <c r="H39" s="1"/>
      <c r="I39" s="1"/>
      <c r="J39" s="1"/>
      <c r="K39" s="1"/>
      <c r="L39" s="1"/>
      <c r="M39" s="1"/>
      <c r="N39" s="1"/>
      <c r="O39" s="1"/>
      <c r="P39" s="1"/>
      <c r="Q39" s="1"/>
      <c r="R39" s="1"/>
      <c r="S39" s="1"/>
      <c r="T39" s="1"/>
      <c r="U39" s="1"/>
      <c r="V39" s="1"/>
      <c r="W39" s="1"/>
      <c r="X39" s="1"/>
      <c r="Y39" s="1"/>
      <c r="Z39" s="1"/>
      <c r="AA39" s="1"/>
    </row>
    <row r="40" spans="2:27" x14ac:dyDescent="0.25">
      <c r="B40" s="164" t="s">
        <v>13</v>
      </c>
      <c r="C40" s="164"/>
      <c r="D40" s="90"/>
      <c r="E40" s="91"/>
      <c r="F40" s="92"/>
      <c r="G40" s="1"/>
      <c r="H40" s="1"/>
      <c r="I40" s="1"/>
      <c r="J40" s="1"/>
      <c r="K40" s="1"/>
      <c r="L40" s="1"/>
      <c r="M40" s="1"/>
      <c r="N40" s="1"/>
      <c r="O40" s="1"/>
      <c r="P40" s="1"/>
      <c r="Q40" s="1"/>
      <c r="R40" s="1"/>
      <c r="S40" s="1"/>
      <c r="T40" s="1"/>
      <c r="U40" s="1"/>
      <c r="V40" s="1"/>
      <c r="W40" s="1"/>
      <c r="X40" s="1"/>
      <c r="Y40" s="1"/>
      <c r="Z40" s="1"/>
      <c r="AA40" s="1"/>
    </row>
    <row r="41" spans="2:27" x14ac:dyDescent="0.25">
      <c r="B41" s="164" t="s">
        <v>17</v>
      </c>
      <c r="C41" s="164"/>
      <c r="D41" s="90" t="s">
        <v>83</v>
      </c>
      <c r="E41" s="91"/>
      <c r="F41" s="92"/>
      <c r="G41" s="1"/>
      <c r="H41" s="1"/>
      <c r="I41" s="1"/>
      <c r="J41" s="1"/>
      <c r="K41" s="1"/>
      <c r="L41" s="1"/>
      <c r="M41" s="1"/>
      <c r="N41" s="1"/>
      <c r="O41" s="1"/>
      <c r="P41" s="1"/>
      <c r="Q41" s="1"/>
      <c r="R41" s="1"/>
      <c r="S41" s="1"/>
      <c r="T41" s="1"/>
      <c r="U41" s="1"/>
      <c r="V41" s="1"/>
      <c r="W41" s="1"/>
      <c r="X41" s="1"/>
      <c r="Y41" s="1"/>
      <c r="Z41" s="1"/>
      <c r="AA41" s="1"/>
    </row>
    <row r="42" spans="2:27" x14ac:dyDescent="0.25">
      <c r="B42" s="1"/>
      <c r="C42" s="1"/>
      <c r="D42" s="1"/>
      <c r="E42" s="1"/>
      <c r="F42" s="1"/>
      <c r="G42" s="1"/>
      <c r="H42" s="1"/>
      <c r="I42" s="1"/>
      <c r="J42" s="1"/>
      <c r="K42" s="1"/>
      <c r="L42" s="1"/>
      <c r="M42" s="1"/>
      <c r="N42" s="1"/>
      <c r="O42" s="1"/>
      <c r="P42" s="1"/>
      <c r="Q42" s="1"/>
      <c r="R42" s="1"/>
      <c r="S42" s="1"/>
      <c r="T42" s="1"/>
      <c r="U42" s="1"/>
      <c r="V42" s="1"/>
      <c r="W42" s="1"/>
      <c r="X42" s="1"/>
      <c r="Y42" s="1"/>
      <c r="Z42" s="1"/>
      <c r="AA42" s="1"/>
    </row>
    <row r="43" spans="2:27" s="5" customFormat="1" ht="28.5" x14ac:dyDescent="0.45">
      <c r="B43" s="23" t="s">
        <v>19</v>
      </c>
    </row>
    <row r="44" spans="2:27" x14ac:dyDescent="0.25">
      <c r="B44" s="1"/>
      <c r="C44" s="1"/>
      <c r="D44" s="1"/>
      <c r="E44" s="1"/>
      <c r="F44" s="1"/>
      <c r="G44" s="1"/>
      <c r="H44" s="1"/>
      <c r="I44" s="1"/>
      <c r="J44" s="1"/>
      <c r="K44" s="1"/>
      <c r="L44" s="1"/>
      <c r="M44" s="1"/>
      <c r="N44" s="1"/>
      <c r="O44" s="1"/>
      <c r="P44" s="1"/>
      <c r="Q44" s="1"/>
      <c r="R44" s="1"/>
      <c r="S44" s="1"/>
      <c r="T44" s="1"/>
      <c r="U44" s="1"/>
      <c r="V44" s="1"/>
      <c r="W44" s="1"/>
      <c r="X44" s="1"/>
      <c r="Y44" s="1"/>
      <c r="Z44" s="1"/>
      <c r="AA44" s="1"/>
    </row>
    <row r="45" spans="2:27" s="6" customFormat="1" x14ac:dyDescent="0.25">
      <c r="B45" s="171" t="s">
        <v>216</v>
      </c>
      <c r="C45" s="171"/>
      <c r="D45" s="171"/>
      <c r="E45" s="171"/>
      <c r="F45" s="171"/>
      <c r="G45" s="171"/>
      <c r="H45" s="171"/>
      <c r="I45" s="171"/>
      <c r="J45" s="171"/>
      <c r="K45" s="171"/>
      <c r="L45" s="171"/>
      <c r="M45" s="171"/>
      <c r="N45" s="171"/>
      <c r="O45" s="171"/>
      <c r="P45" s="171"/>
      <c r="Q45" s="171"/>
    </row>
    <row r="46" spans="2:27"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row>
    <row r="47" spans="2:27" ht="15" customHeight="1" x14ac:dyDescent="0.25">
      <c r="B47" s="168" t="s">
        <v>210</v>
      </c>
      <c r="C47" s="169"/>
      <c r="D47" s="169"/>
      <c r="E47" s="169"/>
      <c r="F47" s="169"/>
      <c r="G47" s="169"/>
      <c r="H47" s="169"/>
      <c r="I47" s="169"/>
      <c r="J47" s="169"/>
      <c r="K47" s="169"/>
      <c r="L47" s="169"/>
      <c r="M47" s="169"/>
      <c r="N47" s="169"/>
      <c r="O47" s="169"/>
      <c r="P47" s="169"/>
      <c r="Q47" s="169"/>
      <c r="R47" s="1"/>
      <c r="S47" s="1"/>
      <c r="T47" s="1"/>
      <c r="U47" s="1"/>
      <c r="V47" s="1"/>
      <c r="W47" s="1"/>
      <c r="X47" s="1"/>
      <c r="Y47" s="1"/>
      <c r="Z47" s="1"/>
      <c r="AA47" s="1"/>
    </row>
    <row r="48" spans="2:27"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row>
    <row r="49" spans="2:27" s="6" customFormat="1" x14ac:dyDescent="0.25">
      <c r="B49" s="168" t="s">
        <v>211</v>
      </c>
      <c r="C49" s="169"/>
      <c r="D49" s="169"/>
      <c r="E49" s="169"/>
      <c r="F49" s="169"/>
      <c r="G49" s="169"/>
      <c r="H49" s="169"/>
      <c r="I49" s="169"/>
      <c r="J49" s="169"/>
      <c r="K49" s="169"/>
      <c r="L49" s="169"/>
      <c r="M49" s="169"/>
      <c r="N49" s="169"/>
      <c r="O49" s="169"/>
      <c r="P49" s="169"/>
      <c r="Q49" s="169"/>
    </row>
    <row r="50" spans="2:27"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row>
    <row r="51" spans="2:27" x14ac:dyDescent="0.25">
      <c r="B51" s="168" t="s">
        <v>212</v>
      </c>
      <c r="C51" s="168"/>
      <c r="D51" s="168"/>
      <c r="E51" s="168"/>
      <c r="F51" s="168"/>
      <c r="G51" s="168"/>
      <c r="H51" s="168"/>
      <c r="I51" s="168"/>
      <c r="J51" s="168"/>
      <c r="K51" s="168"/>
      <c r="L51" s="168"/>
      <c r="M51" s="168"/>
      <c r="N51" s="168"/>
      <c r="O51" s="168"/>
      <c r="P51" s="168"/>
      <c r="Q51" s="168"/>
      <c r="R51" s="1"/>
      <c r="S51" s="1"/>
      <c r="T51" s="1"/>
      <c r="U51" s="1"/>
      <c r="V51" s="1"/>
      <c r="W51" s="1"/>
      <c r="X51" s="1"/>
      <c r="Y51" s="1"/>
      <c r="Z51" s="1"/>
      <c r="AA51" s="1"/>
    </row>
    <row r="52" spans="2:27"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row>
    <row r="53" spans="2:27" x14ac:dyDescent="0.25">
      <c r="B53" s="168" t="s">
        <v>213</v>
      </c>
      <c r="C53" s="168"/>
      <c r="D53" s="168"/>
      <c r="E53" s="168"/>
      <c r="F53" s="168"/>
      <c r="G53" s="168"/>
      <c r="H53" s="168"/>
      <c r="I53" s="168"/>
      <c r="J53" s="168"/>
      <c r="K53" s="168"/>
      <c r="L53" s="168"/>
      <c r="M53" s="168"/>
      <c r="N53" s="168"/>
      <c r="O53" s="168"/>
      <c r="P53" s="168"/>
      <c r="Q53" s="168"/>
      <c r="R53" s="1"/>
      <c r="S53" s="1"/>
      <c r="T53" s="1"/>
      <c r="U53" s="1"/>
      <c r="V53" s="1"/>
      <c r="W53" s="1"/>
      <c r="X53" s="1"/>
      <c r="Y53" s="1"/>
      <c r="Z53" s="1"/>
      <c r="AA53" s="1"/>
    </row>
    <row r="54" spans="2:27"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row>
    <row r="55" spans="2:27" ht="15" customHeight="1" x14ac:dyDescent="0.25">
      <c r="B55" s="168" t="s">
        <v>214</v>
      </c>
      <c r="C55" s="169"/>
      <c r="D55" s="169"/>
      <c r="E55" s="169"/>
      <c r="F55" s="169"/>
      <c r="G55" s="169"/>
      <c r="H55" s="169"/>
      <c r="I55" s="169"/>
      <c r="J55" s="169"/>
      <c r="K55" s="169"/>
      <c r="L55" s="169"/>
      <c r="M55" s="169"/>
      <c r="N55" s="169"/>
      <c r="O55" s="169"/>
      <c r="P55" s="169"/>
      <c r="Q55" s="169"/>
      <c r="R55" s="1"/>
      <c r="S55" s="1"/>
      <c r="T55" s="1"/>
      <c r="U55" s="1"/>
      <c r="V55" s="1"/>
      <c r="W55" s="1"/>
      <c r="X55" s="1"/>
      <c r="Y55" s="1"/>
      <c r="Z55" s="1"/>
      <c r="AA55" s="1"/>
    </row>
    <row r="56" spans="2:27"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row>
    <row r="57" spans="2:27" s="7" customFormat="1" x14ac:dyDescent="0.25">
      <c r="B57" s="168" t="s">
        <v>215</v>
      </c>
      <c r="C57" s="169"/>
      <c r="D57" s="169"/>
      <c r="E57" s="169"/>
      <c r="F57" s="169"/>
      <c r="G57" s="169"/>
      <c r="H57" s="169"/>
      <c r="I57" s="169"/>
      <c r="J57" s="169"/>
      <c r="K57" s="169"/>
      <c r="L57" s="169"/>
      <c r="M57" s="169"/>
      <c r="N57" s="169"/>
      <c r="O57" s="169"/>
      <c r="P57" s="169"/>
      <c r="Q57" s="169"/>
    </row>
    <row r="58" spans="2:27"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row>
    <row r="59" spans="2:27" x14ac:dyDescent="0.25">
      <c r="B59" s="169" t="s">
        <v>20</v>
      </c>
      <c r="C59" s="169"/>
      <c r="D59" s="169"/>
      <c r="E59" s="169"/>
      <c r="F59" s="169"/>
      <c r="G59" s="169"/>
      <c r="H59" s="169"/>
      <c r="I59" s="169"/>
      <c r="J59" s="169"/>
      <c r="K59" s="169"/>
      <c r="L59" s="169"/>
      <c r="M59" s="169"/>
      <c r="N59" s="169"/>
      <c r="O59" s="169"/>
      <c r="P59" s="169"/>
      <c r="Q59" s="169"/>
      <c r="R59" s="1"/>
      <c r="S59" s="1"/>
      <c r="T59" s="1"/>
      <c r="U59" s="1"/>
      <c r="V59" s="1"/>
      <c r="W59" s="1"/>
      <c r="X59" s="1"/>
      <c r="Y59" s="1"/>
      <c r="Z59" s="1"/>
      <c r="AA59" s="1"/>
    </row>
    <row r="60" spans="2:27" x14ac:dyDescent="0.25">
      <c r="B60" s="172"/>
      <c r="C60" s="172"/>
      <c r="D60" s="172"/>
      <c r="E60" s="172"/>
      <c r="F60" s="172"/>
      <c r="G60" s="172"/>
      <c r="H60" s="172"/>
      <c r="I60" s="172"/>
      <c r="J60" s="172"/>
      <c r="K60" s="172"/>
      <c r="L60" s="172"/>
      <c r="M60" s="172"/>
      <c r="N60" s="172"/>
      <c r="O60" s="172"/>
      <c r="P60" s="172"/>
      <c r="Q60" s="172"/>
      <c r="R60" s="1"/>
      <c r="S60" s="1"/>
      <c r="T60" s="1"/>
      <c r="U60" s="1"/>
      <c r="V60" s="1"/>
      <c r="W60" s="1"/>
      <c r="X60" s="1"/>
      <c r="Y60" s="1"/>
      <c r="Z60" s="1"/>
      <c r="AA60" s="1"/>
    </row>
    <row r="61" spans="2:27"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row>
    <row r="62" spans="2:27" s="5" customFormat="1" ht="28.5" x14ac:dyDescent="0.45">
      <c r="B62" s="23" t="s">
        <v>21</v>
      </c>
    </row>
    <row r="63" spans="2:27"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row>
    <row r="64" spans="2:27" x14ac:dyDescent="0.25">
      <c r="B64" s="46" t="s">
        <v>22</v>
      </c>
      <c r="C64" s="43" t="s">
        <v>23</v>
      </c>
      <c r="D64" s="46" t="s">
        <v>264</v>
      </c>
      <c r="E64" s="46" t="s">
        <v>173</v>
      </c>
      <c r="F64" s="46" t="s">
        <v>261</v>
      </c>
      <c r="G64" s="46" t="s">
        <v>255</v>
      </c>
      <c r="H64" s="46" t="s">
        <v>254</v>
      </c>
      <c r="I64" s="43" t="s">
        <v>68</v>
      </c>
      <c r="J64" s="43" t="s">
        <v>24</v>
      </c>
      <c r="K64" s="1"/>
      <c r="S64" s="1"/>
      <c r="T64" s="1"/>
      <c r="U64" s="1"/>
      <c r="V64" s="1"/>
      <c r="W64" s="1"/>
      <c r="X64" s="1"/>
      <c r="Y64" s="1"/>
      <c r="Z64" s="1"/>
      <c r="AA64" s="1"/>
    </row>
    <row r="65" spans="2:27" x14ac:dyDescent="0.25">
      <c r="B65" s="46" t="s">
        <v>25</v>
      </c>
      <c r="C65" s="51">
        <v>16</v>
      </c>
      <c r="D65" s="50">
        <v>6</v>
      </c>
      <c r="E65" s="50">
        <v>0</v>
      </c>
      <c r="F65" s="50">
        <v>0</v>
      </c>
      <c r="G65" s="50">
        <v>0</v>
      </c>
      <c r="H65" s="32">
        <v>0</v>
      </c>
      <c r="I65" s="24">
        <f>(C65+D65+E65+F65+G65+H65)</f>
        <v>22</v>
      </c>
      <c r="J65" s="38">
        <f>FLOOR((I65-10)/2,1)</f>
        <v>6</v>
      </c>
      <c r="K65" s="1"/>
      <c r="S65" s="1"/>
      <c r="T65" s="1"/>
      <c r="U65" s="1"/>
      <c r="V65" s="1"/>
      <c r="W65" s="1"/>
      <c r="X65" s="1"/>
      <c r="Y65" s="1"/>
      <c r="Z65" s="1"/>
      <c r="AA65" s="1"/>
    </row>
    <row r="66" spans="2:27" x14ac:dyDescent="0.25">
      <c r="B66" s="46" t="s">
        <v>26</v>
      </c>
      <c r="C66" s="51">
        <v>16</v>
      </c>
      <c r="D66" s="50">
        <v>0</v>
      </c>
      <c r="E66" s="50">
        <v>0</v>
      </c>
      <c r="F66" s="50">
        <v>0</v>
      </c>
      <c r="G66" s="50">
        <v>0</v>
      </c>
      <c r="H66" s="32">
        <v>0</v>
      </c>
      <c r="I66" s="24">
        <f t="shared" ref="I66:I70" si="0">(C66+D66+E66+F66+G66+H66)</f>
        <v>16</v>
      </c>
      <c r="J66" s="38">
        <f t="shared" ref="J66:J69" si="1">FLOOR((I66-10)/2,1)</f>
        <v>3</v>
      </c>
      <c r="K66" s="1"/>
      <c r="S66" s="1"/>
      <c r="T66" s="1"/>
      <c r="U66" s="1"/>
      <c r="V66" s="1"/>
      <c r="W66" s="1"/>
      <c r="X66" s="1"/>
      <c r="Y66" s="1"/>
      <c r="Z66" s="1"/>
      <c r="AA66" s="1"/>
    </row>
    <row r="67" spans="2:27" x14ac:dyDescent="0.25">
      <c r="B67" s="8" t="s">
        <v>27</v>
      </c>
      <c r="C67" s="51">
        <v>18</v>
      </c>
      <c r="D67" s="50">
        <v>6</v>
      </c>
      <c r="E67" s="50">
        <v>1</v>
      </c>
      <c r="F67" s="50">
        <v>0</v>
      </c>
      <c r="G67" s="50">
        <v>0</v>
      </c>
      <c r="H67" s="32">
        <v>0</v>
      </c>
      <c r="I67" s="24">
        <f t="shared" si="0"/>
        <v>25</v>
      </c>
      <c r="J67" s="38">
        <f t="shared" si="1"/>
        <v>7</v>
      </c>
      <c r="K67" s="1"/>
      <c r="S67" s="1"/>
      <c r="T67" s="1"/>
      <c r="U67" s="1"/>
      <c r="V67" s="1"/>
      <c r="W67" s="1"/>
      <c r="X67" s="1"/>
      <c r="Y67" s="1"/>
      <c r="Z67" s="1"/>
      <c r="AA67" s="1"/>
    </row>
    <row r="68" spans="2:27" x14ac:dyDescent="0.25">
      <c r="B68" s="8" t="s">
        <v>28</v>
      </c>
      <c r="C68" s="51">
        <v>16</v>
      </c>
      <c r="D68" s="50">
        <v>0</v>
      </c>
      <c r="E68" s="50">
        <v>0</v>
      </c>
      <c r="F68" s="50">
        <v>0</v>
      </c>
      <c r="G68" s="50">
        <v>0</v>
      </c>
      <c r="H68" s="32">
        <v>0</v>
      </c>
      <c r="I68" s="24">
        <f t="shared" si="0"/>
        <v>16</v>
      </c>
      <c r="J68" s="38">
        <f t="shared" si="1"/>
        <v>3</v>
      </c>
      <c r="K68" s="1"/>
      <c r="S68" s="1"/>
      <c r="T68" s="1"/>
      <c r="U68" s="1"/>
      <c r="V68" s="1"/>
      <c r="W68" s="1"/>
      <c r="X68" s="1"/>
      <c r="Y68" s="1"/>
      <c r="Z68" s="1"/>
      <c r="AA68" s="1"/>
    </row>
    <row r="69" spans="2:27" x14ac:dyDescent="0.25">
      <c r="B69" s="46" t="s">
        <v>29</v>
      </c>
      <c r="C69" s="51">
        <v>15</v>
      </c>
      <c r="D69" s="50">
        <v>0</v>
      </c>
      <c r="E69" s="50">
        <v>0</v>
      </c>
      <c r="F69" s="50">
        <v>0</v>
      </c>
      <c r="G69" s="50">
        <v>0</v>
      </c>
      <c r="H69" s="32">
        <v>0</v>
      </c>
      <c r="I69" s="24">
        <f t="shared" si="0"/>
        <v>15</v>
      </c>
      <c r="J69" s="38">
        <f t="shared" si="1"/>
        <v>2</v>
      </c>
      <c r="K69" s="1"/>
      <c r="S69" s="1"/>
      <c r="T69" s="1"/>
      <c r="U69" s="1"/>
      <c r="V69" s="1"/>
      <c r="W69" s="1"/>
      <c r="X69" s="1"/>
      <c r="Y69" s="1"/>
      <c r="Z69" s="1"/>
      <c r="AA69" s="1"/>
    </row>
    <row r="70" spans="2:27" x14ac:dyDescent="0.25">
      <c r="B70" s="46" t="s">
        <v>30</v>
      </c>
      <c r="C70" s="51">
        <v>15</v>
      </c>
      <c r="D70" s="50">
        <v>0</v>
      </c>
      <c r="E70" s="50">
        <v>0</v>
      </c>
      <c r="F70" s="50">
        <v>0</v>
      </c>
      <c r="G70" s="50">
        <v>0</v>
      </c>
      <c r="H70" s="32">
        <v>0</v>
      </c>
      <c r="I70" s="24">
        <f t="shared" si="0"/>
        <v>15</v>
      </c>
      <c r="J70" s="38">
        <f>FLOOR((I70-10)/2,1)</f>
        <v>2</v>
      </c>
      <c r="K70" s="1"/>
      <c r="S70" s="1"/>
      <c r="T70" s="1"/>
      <c r="U70" s="1"/>
      <c r="V70" s="1"/>
      <c r="W70" s="1"/>
      <c r="X70" s="1"/>
      <c r="Y70" s="1"/>
      <c r="Z70" s="1"/>
      <c r="AA70" s="1"/>
    </row>
    <row r="71" spans="2:27"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row>
    <row r="72" spans="2:27" s="5" customFormat="1" ht="28.5" x14ac:dyDescent="0.45">
      <c r="B72" s="23" t="s">
        <v>209</v>
      </c>
    </row>
    <row r="73" spans="2:27"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row>
    <row r="74" spans="2:27" s="7" customFormat="1" x14ac:dyDescent="0.25">
      <c r="B74" s="46" t="s">
        <v>31</v>
      </c>
      <c r="C74" s="25">
        <f>(F74+I74+L74+O74)</f>
        <v>13</v>
      </c>
      <c r="D74" s="111" t="s">
        <v>34</v>
      </c>
      <c r="E74" s="111"/>
      <c r="F74" s="40">
        <f>ROUNDDOWN(SUMIF(F349:F369,"&gt;0",R349:R369),0)</f>
        <v>6</v>
      </c>
      <c r="G74" s="180" t="s">
        <v>35</v>
      </c>
      <c r="H74" s="181"/>
      <c r="I74" s="25">
        <f>J67</f>
        <v>7</v>
      </c>
      <c r="J74" s="111" t="s">
        <v>38</v>
      </c>
      <c r="K74" s="111"/>
      <c r="L74" s="40"/>
      <c r="M74" s="111" t="s">
        <v>39</v>
      </c>
      <c r="N74" s="111"/>
      <c r="O74" s="40"/>
    </row>
    <row r="75" spans="2:27" s="7" customFormat="1" x14ac:dyDescent="0.25">
      <c r="B75" s="43" t="s">
        <v>32</v>
      </c>
      <c r="C75" s="25">
        <f>(F75+I75+L75+O75)</f>
        <v>6</v>
      </c>
      <c r="D75" s="111" t="s">
        <v>34</v>
      </c>
      <c r="E75" s="111"/>
      <c r="F75" s="40">
        <f>ROUNDDOWN(SUMIF(F349:F369,"&gt;0",S349:S369),0)</f>
        <v>3</v>
      </c>
      <c r="G75" s="164" t="s">
        <v>36</v>
      </c>
      <c r="H75" s="164"/>
      <c r="I75" s="25">
        <f>IF(J66&gt;G218,G218,J66)</f>
        <v>3</v>
      </c>
      <c r="J75" s="111" t="s">
        <v>38</v>
      </c>
      <c r="K75" s="111"/>
      <c r="L75" s="40"/>
      <c r="M75" s="111" t="s">
        <v>39</v>
      </c>
      <c r="N75" s="111"/>
      <c r="O75" s="40"/>
    </row>
    <row r="76" spans="2:27" s="7" customFormat="1" x14ac:dyDescent="0.25">
      <c r="B76" s="43" t="s">
        <v>33</v>
      </c>
      <c r="C76" s="25">
        <f>(F76+I76+L76+O76)</f>
        <v>8</v>
      </c>
      <c r="D76" s="111" t="s">
        <v>34</v>
      </c>
      <c r="E76" s="111"/>
      <c r="F76" s="40">
        <f>ROUNDDOWN(SUMIF(F349:F369,"&gt;0",T349:T369),0)</f>
        <v>1</v>
      </c>
      <c r="G76" s="164" t="s">
        <v>37</v>
      </c>
      <c r="H76" s="164"/>
      <c r="I76" s="25">
        <f>J67</f>
        <v>7</v>
      </c>
      <c r="J76" s="111" t="s">
        <v>38</v>
      </c>
      <c r="K76" s="111"/>
      <c r="L76" s="40"/>
      <c r="M76" s="111" t="s">
        <v>39</v>
      </c>
      <c r="N76" s="111"/>
      <c r="O76" s="40"/>
    </row>
    <row r="77" spans="2:27" s="7" customFormat="1" x14ac:dyDescent="0.25">
      <c r="B77" s="49"/>
      <c r="C77" s="9"/>
      <c r="D77" s="49"/>
      <c r="E77" s="49"/>
      <c r="F77" s="9"/>
      <c r="G77" s="10"/>
      <c r="H77" s="10"/>
      <c r="I77" s="9"/>
      <c r="J77" s="49"/>
      <c r="K77" s="49"/>
      <c r="L77" s="9"/>
      <c r="M77" s="49"/>
      <c r="N77" s="49"/>
      <c r="O77" s="9"/>
    </row>
    <row r="78" spans="2:27" s="7" customFormat="1" x14ac:dyDescent="0.25">
      <c r="B78" s="111" t="s">
        <v>207</v>
      </c>
      <c r="C78" s="111"/>
      <c r="D78" s="50"/>
    </row>
    <row r="79" spans="2:27" s="7" customFormat="1" x14ac:dyDescent="0.25"/>
    <row r="80" spans="2:27" s="11" customFormat="1" ht="28.5" x14ac:dyDescent="0.45">
      <c r="B80" s="23" t="s">
        <v>40</v>
      </c>
    </row>
    <row r="81" spans="2:27" s="7" customFormat="1" x14ac:dyDescent="0.25"/>
    <row r="82" spans="2:27" s="7" customFormat="1" x14ac:dyDescent="0.25">
      <c r="B82" s="7" t="s">
        <v>245</v>
      </c>
    </row>
    <row r="83" spans="2:27" s="7" customFormat="1" x14ac:dyDescent="0.25">
      <c r="B83" s="156" t="s">
        <v>41</v>
      </c>
      <c r="C83" s="157"/>
      <c r="D83" s="157"/>
      <c r="E83" s="157"/>
      <c r="F83" s="158"/>
      <c r="G83" s="156" t="s">
        <v>42</v>
      </c>
      <c r="H83" s="157"/>
      <c r="I83" s="158"/>
      <c r="J83" s="46" t="s">
        <v>58</v>
      </c>
      <c r="K83" s="48" t="s">
        <v>176</v>
      </c>
      <c r="L83" s="46" t="s">
        <v>249</v>
      </c>
      <c r="M83" s="46" t="s">
        <v>248</v>
      </c>
      <c r="N83" s="43" t="s">
        <v>246</v>
      </c>
      <c r="O83" s="43" t="s">
        <v>247</v>
      </c>
      <c r="P83" s="111" t="s">
        <v>250</v>
      </c>
      <c r="Q83" s="111"/>
    </row>
    <row r="84" spans="2:27" x14ac:dyDescent="0.25">
      <c r="B84" s="185"/>
      <c r="C84" s="170"/>
      <c r="D84" s="170"/>
      <c r="E84" s="170"/>
      <c r="F84" s="101"/>
      <c r="G84" s="100"/>
      <c r="H84" s="170"/>
      <c r="I84" s="101"/>
      <c r="J84" s="26"/>
      <c r="K84" s="47"/>
      <c r="L84" s="26"/>
      <c r="M84" s="26"/>
      <c r="N84" s="51"/>
      <c r="O84" s="51"/>
      <c r="P84" s="173"/>
      <c r="Q84" s="174"/>
      <c r="R84" s="1"/>
      <c r="S84" s="1"/>
      <c r="T84" s="1"/>
      <c r="U84" s="1"/>
      <c r="V84" s="1"/>
      <c r="W84" s="1"/>
      <c r="X84" s="1"/>
      <c r="Y84" s="1"/>
      <c r="Z84" s="1"/>
      <c r="AA84" s="1"/>
    </row>
    <row r="85" spans="2:27" x14ac:dyDescent="0.25">
      <c r="B85" s="100"/>
      <c r="C85" s="170"/>
      <c r="D85" s="170"/>
      <c r="E85" s="170"/>
      <c r="F85" s="101"/>
      <c r="G85" s="100"/>
      <c r="H85" s="170"/>
      <c r="I85" s="101"/>
      <c r="J85" s="26"/>
      <c r="K85" s="47"/>
      <c r="L85" s="26"/>
      <c r="M85" s="26"/>
      <c r="N85" s="51"/>
      <c r="O85" s="51"/>
      <c r="P85" s="173"/>
      <c r="Q85" s="174"/>
      <c r="R85" s="1"/>
      <c r="S85" s="1"/>
      <c r="T85" s="1"/>
      <c r="U85" s="1"/>
      <c r="V85" s="1"/>
      <c r="W85" s="1"/>
      <c r="X85" s="1"/>
      <c r="Y85" s="1"/>
      <c r="Z85" s="1"/>
      <c r="AA85" s="1"/>
    </row>
    <row r="86" spans="2:27" x14ac:dyDescent="0.25">
      <c r="B86" s="100"/>
      <c r="C86" s="170"/>
      <c r="D86" s="170"/>
      <c r="E86" s="170"/>
      <c r="F86" s="101"/>
      <c r="G86" s="100"/>
      <c r="H86" s="170"/>
      <c r="I86" s="101"/>
      <c r="J86" s="26"/>
      <c r="K86" s="47"/>
      <c r="L86" s="26"/>
      <c r="M86" s="26"/>
      <c r="N86" s="51"/>
      <c r="O86" s="51"/>
      <c r="P86" s="173"/>
      <c r="Q86" s="174"/>
      <c r="R86" s="1"/>
      <c r="S86" s="1"/>
      <c r="T86" s="1"/>
      <c r="U86" s="1"/>
      <c r="V86" s="1"/>
      <c r="W86" s="1"/>
      <c r="X86" s="1"/>
      <c r="Y86" s="1"/>
      <c r="Z86" s="1"/>
      <c r="AA86" s="1"/>
    </row>
    <row r="87" spans="2:27" x14ac:dyDescent="0.25">
      <c r="B87" s="100"/>
      <c r="C87" s="170"/>
      <c r="D87" s="170"/>
      <c r="E87" s="170"/>
      <c r="F87" s="101"/>
      <c r="G87" s="100"/>
      <c r="H87" s="170"/>
      <c r="I87" s="101"/>
      <c r="J87" s="26"/>
      <c r="K87" s="47"/>
      <c r="L87" s="26"/>
      <c r="M87" s="26"/>
      <c r="N87" s="51"/>
      <c r="O87" s="51"/>
      <c r="P87" s="173"/>
      <c r="Q87" s="174"/>
      <c r="R87" s="1"/>
      <c r="S87" s="1"/>
      <c r="T87" s="1"/>
      <c r="U87" s="1"/>
      <c r="V87" s="1"/>
      <c r="W87" s="1"/>
      <c r="X87" s="1"/>
      <c r="Y87" s="1"/>
      <c r="Z87" s="1"/>
      <c r="AA87" s="1"/>
    </row>
    <row r="88" spans="2:27"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row>
    <row r="89" spans="2:27" s="7" customFormat="1" x14ac:dyDescent="0.25">
      <c r="B89" s="7" t="s">
        <v>251</v>
      </c>
    </row>
    <row r="90" spans="2:27" s="7" customFormat="1" x14ac:dyDescent="0.25">
      <c r="B90" s="156" t="s">
        <v>41</v>
      </c>
      <c r="C90" s="157"/>
      <c r="D90" s="157"/>
      <c r="E90" s="157"/>
      <c r="F90" s="158"/>
      <c r="G90" s="156" t="s">
        <v>42</v>
      </c>
      <c r="H90" s="157"/>
      <c r="I90" s="158"/>
      <c r="J90" s="46" t="s">
        <v>58</v>
      </c>
      <c r="K90" s="48" t="s">
        <v>176</v>
      </c>
      <c r="L90" s="46" t="s">
        <v>249</v>
      </c>
      <c r="M90" s="46" t="s">
        <v>248</v>
      </c>
      <c r="N90" s="43" t="s">
        <v>246</v>
      </c>
      <c r="O90" s="43" t="s">
        <v>247</v>
      </c>
      <c r="P90" s="175"/>
      <c r="Q90" s="176"/>
    </row>
    <row r="91" spans="2:27" x14ac:dyDescent="0.25">
      <c r="B91" s="100"/>
      <c r="C91" s="170"/>
      <c r="D91" s="170"/>
      <c r="E91" s="170"/>
      <c r="F91" s="101"/>
      <c r="G91" s="100"/>
      <c r="H91" s="170"/>
      <c r="I91" s="101"/>
      <c r="J91" s="26"/>
      <c r="K91" s="47"/>
      <c r="L91" s="26"/>
      <c r="M91" s="26"/>
      <c r="N91" s="51"/>
      <c r="O91" s="51"/>
      <c r="P91" s="177"/>
      <c r="Q91" s="178"/>
      <c r="R91" s="1"/>
      <c r="S91" s="1"/>
      <c r="T91" s="1"/>
      <c r="U91" s="1"/>
      <c r="V91" s="1"/>
      <c r="W91" s="1"/>
      <c r="X91" s="1"/>
      <c r="Y91" s="1"/>
      <c r="Z91" s="1"/>
      <c r="AA91" s="1"/>
    </row>
    <row r="92" spans="2:27" x14ac:dyDescent="0.25">
      <c r="B92" s="100"/>
      <c r="C92" s="170"/>
      <c r="D92" s="170"/>
      <c r="E92" s="170"/>
      <c r="F92" s="101"/>
      <c r="G92" s="100"/>
      <c r="H92" s="170"/>
      <c r="I92" s="101"/>
      <c r="J92" s="26"/>
      <c r="K92" s="47"/>
      <c r="L92" s="26"/>
      <c r="M92" s="26"/>
      <c r="N92" s="51"/>
      <c r="O92" s="51"/>
      <c r="P92" s="177"/>
      <c r="Q92" s="178"/>
      <c r="R92" s="1"/>
      <c r="S92" s="1"/>
      <c r="T92" s="1"/>
      <c r="U92" s="1"/>
      <c r="V92" s="1"/>
      <c r="W92" s="1"/>
      <c r="X92" s="1"/>
      <c r="Y92" s="1"/>
      <c r="Z92" s="1"/>
      <c r="AA92" s="1"/>
    </row>
    <row r="93" spans="2:27" x14ac:dyDescent="0.25">
      <c r="B93" s="100"/>
      <c r="C93" s="170"/>
      <c r="D93" s="170"/>
      <c r="E93" s="170"/>
      <c r="F93" s="101"/>
      <c r="G93" s="100"/>
      <c r="H93" s="170"/>
      <c r="I93" s="101"/>
      <c r="J93" s="26"/>
      <c r="K93" s="47"/>
      <c r="L93" s="26"/>
      <c r="M93" s="26"/>
      <c r="N93" s="51"/>
      <c r="O93" s="51"/>
      <c r="P93" s="177"/>
      <c r="Q93" s="178"/>
      <c r="R93" s="1"/>
      <c r="S93" s="1"/>
      <c r="T93" s="1"/>
      <c r="U93" s="1"/>
      <c r="V93" s="1"/>
      <c r="W93" s="1"/>
      <c r="X93" s="1"/>
      <c r="Y93" s="1"/>
      <c r="Z93" s="1"/>
      <c r="AA93" s="1"/>
    </row>
    <row r="94" spans="2:27"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row>
    <row r="95" spans="2:27" s="7" customFormat="1" x14ac:dyDescent="0.25">
      <c r="B95" s="7" t="s">
        <v>244</v>
      </c>
    </row>
    <row r="96" spans="2:27" s="7" customFormat="1" x14ac:dyDescent="0.25">
      <c r="B96" s="156" t="s">
        <v>41</v>
      </c>
      <c r="C96" s="157"/>
      <c r="D96" s="157"/>
      <c r="E96" s="157"/>
      <c r="F96" s="158"/>
      <c r="G96" s="156" t="s">
        <v>42</v>
      </c>
      <c r="H96" s="157"/>
      <c r="I96" s="158"/>
      <c r="J96" s="46" t="s">
        <v>58</v>
      </c>
      <c r="K96" s="46" t="s">
        <v>176</v>
      </c>
      <c r="L96" s="156" t="s">
        <v>43</v>
      </c>
      <c r="M96" s="158"/>
    </row>
    <row r="97" spans="2:27" s="7" customFormat="1" x14ac:dyDescent="0.25">
      <c r="B97" s="102"/>
      <c r="C97" s="103"/>
      <c r="D97" s="103"/>
      <c r="E97" s="103"/>
      <c r="F97" s="104"/>
      <c r="G97" s="102"/>
      <c r="H97" s="103"/>
      <c r="I97" s="104"/>
      <c r="J97" s="26"/>
      <c r="K97" s="26"/>
      <c r="L97" s="162"/>
      <c r="M97" s="163"/>
    </row>
    <row r="98" spans="2:27" s="7" customFormat="1" x14ac:dyDescent="0.25">
      <c r="B98" s="102"/>
      <c r="C98" s="103"/>
      <c r="D98" s="103"/>
      <c r="E98" s="103"/>
      <c r="F98" s="104"/>
      <c r="G98" s="102"/>
      <c r="H98" s="103"/>
      <c r="I98" s="104"/>
      <c r="J98" s="26"/>
      <c r="K98" s="26"/>
      <c r="L98" s="162"/>
      <c r="M98" s="163"/>
    </row>
    <row r="99" spans="2:27" x14ac:dyDescent="0.25">
      <c r="B99" s="102"/>
      <c r="C99" s="103"/>
      <c r="D99" s="103"/>
      <c r="E99" s="103"/>
      <c r="F99" s="104"/>
      <c r="G99" s="102"/>
      <c r="H99" s="103"/>
      <c r="I99" s="104"/>
      <c r="J99" s="26"/>
      <c r="K99" s="26"/>
      <c r="L99" s="100"/>
      <c r="M99" s="101"/>
      <c r="N99" s="1"/>
      <c r="O99" s="1"/>
      <c r="P99" s="1"/>
      <c r="Q99" s="1"/>
      <c r="R99" s="1"/>
      <c r="S99" s="1"/>
      <c r="T99" s="1"/>
      <c r="U99" s="1"/>
      <c r="V99" s="1"/>
      <c r="W99" s="1"/>
      <c r="X99" s="1"/>
      <c r="Y99" s="1"/>
      <c r="Z99" s="1"/>
      <c r="AA99" s="1"/>
    </row>
    <row r="100" spans="2:27" x14ac:dyDescent="0.25">
      <c r="B100" s="102"/>
      <c r="C100" s="103"/>
      <c r="D100" s="103"/>
      <c r="E100" s="103"/>
      <c r="F100" s="104"/>
      <c r="G100" s="102"/>
      <c r="H100" s="103"/>
      <c r="I100" s="104"/>
      <c r="J100" s="26"/>
      <c r="K100" s="26"/>
      <c r="L100" s="100"/>
      <c r="M100" s="101"/>
      <c r="N100" s="1"/>
      <c r="O100" s="1"/>
      <c r="P100" s="1"/>
      <c r="Q100" s="1"/>
      <c r="R100" s="1"/>
      <c r="S100" s="1"/>
      <c r="T100" s="1"/>
      <c r="U100" s="1"/>
      <c r="V100" s="1"/>
      <c r="W100" s="1"/>
      <c r="X100" s="1"/>
      <c r="Y100" s="1"/>
      <c r="Z100" s="1"/>
      <c r="AA100" s="1"/>
    </row>
    <row r="101" spans="2:27" x14ac:dyDescent="0.25">
      <c r="B101" s="102"/>
      <c r="C101" s="103"/>
      <c r="D101" s="103"/>
      <c r="E101" s="103"/>
      <c r="F101" s="104"/>
      <c r="G101" s="102"/>
      <c r="H101" s="103"/>
      <c r="I101" s="104"/>
      <c r="J101" s="26"/>
      <c r="K101" s="26"/>
      <c r="L101" s="100"/>
      <c r="M101" s="101"/>
      <c r="N101" s="1"/>
      <c r="O101" s="1"/>
      <c r="P101" s="1"/>
      <c r="Q101" s="1"/>
      <c r="R101" s="1"/>
      <c r="S101" s="1"/>
      <c r="T101" s="1"/>
      <c r="U101" s="1"/>
      <c r="V101" s="1"/>
      <c r="W101" s="1"/>
      <c r="X101" s="1"/>
      <c r="Y101" s="1"/>
      <c r="Z101" s="1"/>
      <c r="AA101" s="1"/>
    </row>
    <row r="102" spans="2:27" x14ac:dyDescent="0.25">
      <c r="B102" s="102"/>
      <c r="C102" s="103"/>
      <c r="D102" s="103"/>
      <c r="E102" s="103"/>
      <c r="F102" s="104"/>
      <c r="G102" s="102"/>
      <c r="H102" s="103"/>
      <c r="I102" s="104"/>
      <c r="J102" s="26"/>
      <c r="K102" s="26"/>
      <c r="L102" s="100"/>
      <c r="M102" s="101"/>
      <c r="N102" s="1"/>
      <c r="O102" s="1"/>
      <c r="P102" s="1"/>
      <c r="Q102" s="1"/>
      <c r="R102" s="1"/>
      <c r="S102" s="1"/>
      <c r="T102" s="1"/>
      <c r="U102" s="1"/>
      <c r="V102" s="1"/>
      <c r="W102" s="1"/>
      <c r="X102" s="1"/>
      <c r="Y102" s="1"/>
      <c r="Z102" s="1"/>
      <c r="AA102" s="1"/>
    </row>
    <row r="103" spans="2:27" x14ac:dyDescent="0.25">
      <c r="B103" s="102"/>
      <c r="C103" s="103"/>
      <c r="D103" s="103"/>
      <c r="E103" s="103"/>
      <c r="F103" s="104"/>
      <c r="G103" s="102"/>
      <c r="H103" s="103"/>
      <c r="I103" s="104"/>
      <c r="J103" s="26"/>
      <c r="K103" s="26"/>
      <c r="L103" s="100"/>
      <c r="M103" s="101"/>
      <c r="N103" s="1"/>
      <c r="O103" s="1"/>
      <c r="P103" s="1"/>
      <c r="Q103" s="1"/>
      <c r="R103" s="1"/>
      <c r="S103" s="1"/>
      <c r="T103" s="1"/>
      <c r="U103" s="1"/>
      <c r="V103" s="1"/>
      <c r="W103" s="1"/>
      <c r="X103" s="1"/>
      <c r="Y103" s="1"/>
      <c r="Z103" s="1"/>
      <c r="AA103" s="1"/>
    </row>
    <row r="104" spans="2:27" x14ac:dyDescent="0.25">
      <c r="B104" s="102"/>
      <c r="C104" s="103"/>
      <c r="D104" s="103"/>
      <c r="E104" s="103"/>
      <c r="F104" s="104"/>
      <c r="G104" s="102"/>
      <c r="H104" s="103"/>
      <c r="I104" s="104"/>
      <c r="J104" s="26"/>
      <c r="K104" s="26"/>
      <c r="L104" s="100"/>
      <c r="M104" s="101"/>
      <c r="N104" s="1"/>
      <c r="O104" s="1"/>
      <c r="P104" s="1"/>
      <c r="Q104" s="1"/>
      <c r="R104" s="1"/>
      <c r="S104" s="1"/>
      <c r="T104" s="1"/>
      <c r="U104" s="1"/>
      <c r="V104" s="1"/>
      <c r="W104" s="1"/>
      <c r="X104" s="1"/>
      <c r="Y104" s="1"/>
      <c r="Z104" s="1"/>
      <c r="AA104" s="1"/>
    </row>
    <row r="105" spans="2:27" x14ac:dyDescent="0.25">
      <c r="B105" s="102"/>
      <c r="C105" s="103"/>
      <c r="D105" s="103"/>
      <c r="E105" s="103"/>
      <c r="F105" s="104"/>
      <c r="G105" s="102"/>
      <c r="H105" s="103"/>
      <c r="I105" s="104"/>
      <c r="J105" s="26"/>
      <c r="K105" s="26"/>
      <c r="L105" s="100"/>
      <c r="M105" s="101"/>
      <c r="N105" s="1"/>
      <c r="O105" s="1"/>
      <c r="P105" s="1"/>
      <c r="Q105" s="1"/>
      <c r="R105" s="1"/>
      <c r="S105" s="1"/>
      <c r="T105" s="1"/>
      <c r="U105" s="1"/>
      <c r="V105" s="1"/>
      <c r="W105" s="1"/>
      <c r="X105" s="1"/>
      <c r="Y105" s="1"/>
      <c r="Z105" s="1"/>
      <c r="AA105" s="1"/>
    </row>
    <row r="106" spans="2:27" x14ac:dyDescent="0.25">
      <c r="B106" s="102"/>
      <c r="C106" s="103"/>
      <c r="D106" s="103"/>
      <c r="E106" s="103"/>
      <c r="F106" s="104"/>
      <c r="G106" s="102"/>
      <c r="H106" s="103"/>
      <c r="I106" s="104"/>
      <c r="J106" s="26"/>
      <c r="K106" s="26"/>
      <c r="L106" s="100"/>
      <c r="M106" s="101"/>
      <c r="N106" s="1"/>
      <c r="O106" s="1"/>
      <c r="P106" s="1"/>
      <c r="Q106" s="1"/>
      <c r="R106" s="1"/>
      <c r="S106" s="1"/>
      <c r="T106" s="1"/>
      <c r="U106" s="1"/>
      <c r="V106" s="1"/>
      <c r="W106" s="1"/>
      <c r="X106" s="1"/>
      <c r="Y106" s="1"/>
      <c r="Z106" s="1"/>
      <c r="AA106" s="1"/>
    </row>
    <row r="107" spans="2:27" x14ac:dyDescent="0.25">
      <c r="B107" s="102"/>
      <c r="C107" s="103"/>
      <c r="D107" s="103"/>
      <c r="E107" s="103"/>
      <c r="F107" s="104"/>
      <c r="G107" s="102"/>
      <c r="H107" s="103"/>
      <c r="I107" s="104"/>
      <c r="J107" s="26"/>
      <c r="K107" s="26"/>
      <c r="L107" s="100"/>
      <c r="M107" s="101"/>
      <c r="N107" s="1"/>
      <c r="O107" s="1"/>
      <c r="P107" s="1"/>
      <c r="Q107" s="1"/>
      <c r="R107" s="1"/>
      <c r="S107" s="1"/>
      <c r="T107" s="1"/>
      <c r="U107" s="1"/>
      <c r="V107" s="1"/>
      <c r="W107" s="1"/>
      <c r="X107" s="1"/>
      <c r="Y107" s="1"/>
      <c r="Z107" s="1"/>
      <c r="AA107" s="1"/>
    </row>
    <row r="108" spans="2:27"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2:27" x14ac:dyDescent="0.25">
      <c r="B109" s="7" t="s">
        <v>785</v>
      </c>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2:27" x14ac:dyDescent="0.25">
      <c r="B110" s="156" t="s">
        <v>41</v>
      </c>
      <c r="C110" s="157"/>
      <c r="D110" s="157"/>
      <c r="E110" s="157"/>
      <c r="F110" s="158"/>
      <c r="G110" s="156" t="s">
        <v>42</v>
      </c>
      <c r="H110" s="157"/>
      <c r="I110" s="158"/>
      <c r="J110" s="46" t="s">
        <v>58</v>
      </c>
      <c r="K110" s="46" t="s">
        <v>176</v>
      </c>
      <c r="L110" s="1"/>
      <c r="M110" s="1"/>
      <c r="N110" s="1"/>
      <c r="O110" s="1"/>
      <c r="P110" s="1"/>
      <c r="Q110" s="1"/>
      <c r="R110" s="1"/>
      <c r="S110" s="1"/>
      <c r="T110" s="1"/>
      <c r="U110" s="1"/>
      <c r="V110" s="1"/>
      <c r="W110" s="1"/>
      <c r="X110" s="1"/>
      <c r="Y110" s="1"/>
      <c r="Z110" s="1"/>
      <c r="AA110" s="1"/>
    </row>
    <row r="111" spans="2:27" s="34" customFormat="1" x14ac:dyDescent="0.25">
      <c r="B111" s="102" t="s">
        <v>834</v>
      </c>
      <c r="C111" s="103"/>
      <c r="D111" s="103"/>
      <c r="E111" s="103"/>
      <c r="F111" s="104"/>
      <c r="G111" s="102" t="s">
        <v>835</v>
      </c>
      <c r="H111" s="103"/>
      <c r="I111" s="104"/>
      <c r="J111" s="26">
        <v>100</v>
      </c>
      <c r="K111" s="26">
        <v>16</v>
      </c>
    </row>
    <row r="112" spans="2:27" s="34" customFormat="1" x14ac:dyDescent="0.25">
      <c r="B112" s="102" t="s">
        <v>836</v>
      </c>
      <c r="C112" s="103"/>
      <c r="D112" s="103"/>
      <c r="E112" s="103"/>
      <c r="F112" s="104"/>
      <c r="G112" s="102" t="s">
        <v>835</v>
      </c>
      <c r="H112" s="103"/>
      <c r="I112" s="104"/>
      <c r="J112" s="26">
        <v>18</v>
      </c>
      <c r="K112" s="26">
        <v>10</v>
      </c>
    </row>
    <row r="113" spans="2:11" s="34" customFormat="1" x14ac:dyDescent="0.25">
      <c r="B113" s="102" t="s">
        <v>837</v>
      </c>
      <c r="C113" s="103"/>
      <c r="D113" s="103"/>
      <c r="E113" s="103"/>
      <c r="F113" s="104"/>
      <c r="G113" s="102" t="s">
        <v>838</v>
      </c>
      <c r="H113" s="103"/>
      <c r="I113" s="104"/>
      <c r="J113" s="26">
        <v>1</v>
      </c>
      <c r="K113" s="26" t="s">
        <v>1</v>
      </c>
    </row>
    <row r="114" spans="2:11" s="34" customFormat="1" x14ac:dyDescent="0.25">
      <c r="B114" s="102" t="s">
        <v>839</v>
      </c>
      <c r="C114" s="103"/>
      <c r="D114" s="103"/>
      <c r="E114" s="103"/>
      <c r="F114" s="104"/>
      <c r="G114" s="102" t="s">
        <v>838</v>
      </c>
      <c r="H114" s="103"/>
      <c r="I114" s="104"/>
      <c r="J114" s="26">
        <v>0.3</v>
      </c>
      <c r="K114" s="26" t="s">
        <v>1</v>
      </c>
    </row>
    <row r="115" spans="2:11" s="34" customFormat="1" x14ac:dyDescent="0.25">
      <c r="B115" s="102" t="s">
        <v>840</v>
      </c>
      <c r="C115" s="103"/>
      <c r="D115" s="103"/>
      <c r="E115" s="103"/>
      <c r="F115" s="104"/>
      <c r="G115" s="102" t="s">
        <v>838</v>
      </c>
      <c r="H115" s="103"/>
      <c r="I115" s="104"/>
      <c r="J115" s="26">
        <v>0.3</v>
      </c>
      <c r="K115" s="26" t="s">
        <v>1</v>
      </c>
    </row>
    <row r="116" spans="2:11" s="34" customFormat="1" x14ac:dyDescent="0.25">
      <c r="B116" s="102" t="s">
        <v>841</v>
      </c>
      <c r="C116" s="103"/>
      <c r="D116" s="103"/>
      <c r="E116" s="103"/>
      <c r="F116" s="104"/>
      <c r="G116" s="102" t="s">
        <v>838</v>
      </c>
      <c r="H116" s="103"/>
      <c r="I116" s="104"/>
      <c r="J116" s="26">
        <v>0.1</v>
      </c>
      <c r="K116" s="26" t="s">
        <v>1</v>
      </c>
    </row>
    <row r="117" spans="2:11" s="34" customFormat="1" x14ac:dyDescent="0.25">
      <c r="B117" s="102" t="s">
        <v>842</v>
      </c>
      <c r="C117" s="103"/>
      <c r="D117" s="103"/>
      <c r="E117" s="103"/>
      <c r="F117" s="104"/>
      <c r="G117" s="102" t="s">
        <v>838</v>
      </c>
      <c r="H117" s="103"/>
      <c r="I117" s="104"/>
      <c r="J117" s="26">
        <v>1</v>
      </c>
      <c r="K117" s="26" t="s">
        <v>1</v>
      </c>
    </row>
    <row r="118" spans="2:11" s="34" customFormat="1" x14ac:dyDescent="0.25">
      <c r="B118" s="102" t="s">
        <v>843</v>
      </c>
      <c r="C118" s="103"/>
      <c r="D118" s="103"/>
      <c r="E118" s="103"/>
      <c r="F118" s="104"/>
      <c r="G118" s="102" t="s">
        <v>838</v>
      </c>
      <c r="H118" s="103"/>
      <c r="I118" s="104"/>
      <c r="J118" s="26">
        <v>0.5</v>
      </c>
      <c r="K118" s="26">
        <v>2</v>
      </c>
    </row>
    <row r="119" spans="2:11" s="34" customFormat="1" x14ac:dyDescent="0.25">
      <c r="B119" s="102" t="s">
        <v>844</v>
      </c>
      <c r="C119" s="103"/>
      <c r="D119" s="103"/>
      <c r="E119" s="103"/>
      <c r="F119" s="104"/>
      <c r="G119" s="102" t="s">
        <v>838</v>
      </c>
      <c r="H119" s="103"/>
      <c r="I119" s="104"/>
      <c r="J119" s="26">
        <v>16</v>
      </c>
      <c r="K119" s="26" t="s">
        <v>1</v>
      </c>
    </row>
    <row r="120" spans="2:11" s="34" customFormat="1" x14ac:dyDescent="0.25">
      <c r="B120" s="102" t="s">
        <v>845</v>
      </c>
      <c r="C120" s="103"/>
      <c r="D120" s="103"/>
      <c r="E120" s="103"/>
      <c r="F120" s="104"/>
      <c r="G120" s="102" t="s">
        <v>838</v>
      </c>
      <c r="H120" s="103"/>
      <c r="I120" s="104"/>
      <c r="J120" s="26">
        <v>0.1</v>
      </c>
      <c r="K120" s="26" t="s">
        <v>1</v>
      </c>
    </row>
    <row r="121" spans="2:11" s="34" customFormat="1" x14ac:dyDescent="0.25">
      <c r="B121" s="102" t="s">
        <v>846</v>
      </c>
      <c r="C121" s="103"/>
      <c r="D121" s="103"/>
      <c r="E121" s="103"/>
      <c r="F121" s="104"/>
      <c r="G121" s="102" t="s">
        <v>838</v>
      </c>
      <c r="H121" s="103"/>
      <c r="I121" s="104"/>
      <c r="J121" s="26">
        <v>10</v>
      </c>
      <c r="K121" s="26">
        <v>0.5</v>
      </c>
    </row>
    <row r="122" spans="2:11" s="34" customFormat="1" x14ac:dyDescent="0.25">
      <c r="B122" s="102" t="s">
        <v>847</v>
      </c>
      <c r="C122" s="103"/>
      <c r="D122" s="103"/>
      <c r="E122" s="103"/>
      <c r="F122" s="104"/>
      <c r="G122" s="102" t="s">
        <v>838</v>
      </c>
      <c r="H122" s="103"/>
      <c r="I122" s="104"/>
      <c r="J122" s="26">
        <v>1</v>
      </c>
      <c r="K122" s="26">
        <v>5</v>
      </c>
    </row>
    <row r="123" spans="2:11" s="34" customFormat="1" x14ac:dyDescent="0.25">
      <c r="B123" s="102" t="s">
        <v>848</v>
      </c>
      <c r="C123" s="103"/>
      <c r="D123" s="103"/>
      <c r="E123" s="103"/>
      <c r="F123" s="104"/>
      <c r="G123" s="102" t="s">
        <v>838</v>
      </c>
      <c r="H123" s="103"/>
      <c r="I123" s="104"/>
      <c r="J123" s="26">
        <v>20</v>
      </c>
      <c r="K123" s="26">
        <v>10</v>
      </c>
    </row>
    <row r="124" spans="2:11" s="34" customFormat="1" x14ac:dyDescent="0.25">
      <c r="B124" s="102" t="s">
        <v>849</v>
      </c>
      <c r="C124" s="103"/>
      <c r="D124" s="103"/>
      <c r="E124" s="103"/>
      <c r="F124" s="104"/>
      <c r="G124" s="102" t="s">
        <v>838</v>
      </c>
      <c r="H124" s="103"/>
      <c r="I124" s="104"/>
      <c r="J124" s="26">
        <v>0.3</v>
      </c>
      <c r="K124" s="26">
        <v>1.5</v>
      </c>
    </row>
    <row r="125" spans="2:11" s="34" customFormat="1" x14ac:dyDescent="0.25">
      <c r="B125" s="102" t="s">
        <v>850</v>
      </c>
      <c r="C125" s="103"/>
      <c r="D125" s="103"/>
      <c r="E125" s="103"/>
      <c r="F125" s="104"/>
      <c r="G125" s="102" t="s">
        <v>838</v>
      </c>
      <c r="H125" s="103"/>
      <c r="I125" s="104"/>
      <c r="J125" s="26">
        <v>1</v>
      </c>
      <c r="K125" s="26">
        <v>1</v>
      </c>
    </row>
    <row r="126" spans="2:11" s="34" customFormat="1" x14ac:dyDescent="0.25">
      <c r="B126" s="102" t="s">
        <v>851</v>
      </c>
      <c r="C126" s="103"/>
      <c r="D126" s="103"/>
      <c r="E126" s="103"/>
      <c r="F126" s="104"/>
      <c r="G126" s="102" t="s">
        <v>838</v>
      </c>
      <c r="H126" s="103"/>
      <c r="I126" s="104"/>
      <c r="J126" s="26">
        <v>0.5</v>
      </c>
      <c r="K126" s="26" t="s">
        <v>1</v>
      </c>
    </row>
    <row r="127" spans="2:11" s="34" customFormat="1" x14ac:dyDescent="0.25">
      <c r="B127" s="102" t="s">
        <v>852</v>
      </c>
      <c r="C127" s="103"/>
      <c r="D127" s="103"/>
      <c r="E127" s="103"/>
      <c r="F127" s="104"/>
      <c r="G127" s="102" t="s">
        <v>838</v>
      </c>
      <c r="H127" s="103"/>
      <c r="I127" s="104"/>
      <c r="J127" s="26">
        <v>0.8</v>
      </c>
      <c r="K127" s="26" t="s">
        <v>1</v>
      </c>
    </row>
    <row r="128" spans="2:11" s="34" customFormat="1" x14ac:dyDescent="0.25">
      <c r="B128" s="102" t="s">
        <v>853</v>
      </c>
      <c r="C128" s="103"/>
      <c r="D128" s="103"/>
      <c r="E128" s="103"/>
      <c r="F128" s="104"/>
      <c r="G128" s="102" t="s">
        <v>838</v>
      </c>
      <c r="H128" s="103"/>
      <c r="I128" s="104"/>
      <c r="J128" s="26">
        <v>1</v>
      </c>
      <c r="K128" s="26">
        <v>2</v>
      </c>
    </row>
    <row r="129" spans="2:11" s="34" customFormat="1" x14ac:dyDescent="0.25">
      <c r="B129" s="102" t="s">
        <v>854</v>
      </c>
      <c r="C129" s="103"/>
      <c r="D129" s="103"/>
      <c r="E129" s="103"/>
      <c r="F129" s="104"/>
      <c r="G129" s="102" t="s">
        <v>838</v>
      </c>
      <c r="H129" s="103"/>
      <c r="I129" s="104"/>
      <c r="J129" s="26">
        <v>0.02</v>
      </c>
      <c r="K129" s="26">
        <v>1</v>
      </c>
    </row>
    <row r="130" spans="2:11" s="34" customFormat="1" x14ac:dyDescent="0.25">
      <c r="B130" s="102" t="s">
        <v>855</v>
      </c>
      <c r="C130" s="103"/>
      <c r="D130" s="103"/>
      <c r="E130" s="103"/>
      <c r="F130" s="104"/>
      <c r="G130" s="102" t="s">
        <v>838</v>
      </c>
      <c r="H130" s="103"/>
      <c r="I130" s="104"/>
      <c r="J130" s="26">
        <v>2</v>
      </c>
      <c r="K130" s="26">
        <v>1</v>
      </c>
    </row>
    <row r="131" spans="2:11" s="34" customFormat="1" x14ac:dyDescent="0.25">
      <c r="B131" s="102" t="s">
        <v>856</v>
      </c>
      <c r="C131" s="103"/>
      <c r="D131" s="103"/>
      <c r="E131" s="103"/>
      <c r="F131" s="104"/>
      <c r="G131" s="102" t="s">
        <v>857</v>
      </c>
      <c r="H131" s="103"/>
      <c r="I131" s="104"/>
      <c r="J131" s="26">
        <v>50</v>
      </c>
      <c r="K131" s="26">
        <v>1</v>
      </c>
    </row>
    <row r="132" spans="2:11" s="34" customFormat="1" x14ac:dyDescent="0.25">
      <c r="B132" s="102" t="s">
        <v>858</v>
      </c>
      <c r="C132" s="103"/>
      <c r="D132" s="103"/>
      <c r="E132" s="103"/>
      <c r="F132" s="104"/>
      <c r="G132" s="102" t="s">
        <v>857</v>
      </c>
      <c r="H132" s="103"/>
      <c r="I132" s="104"/>
      <c r="J132" s="26">
        <v>50</v>
      </c>
      <c r="K132" s="26">
        <v>1</v>
      </c>
    </row>
    <row r="133" spans="2:11" s="34" customFormat="1" x14ac:dyDescent="0.25">
      <c r="B133" s="102" t="s">
        <v>859</v>
      </c>
      <c r="C133" s="103"/>
      <c r="D133" s="103"/>
      <c r="E133" s="103"/>
      <c r="F133" s="104"/>
      <c r="G133" s="102" t="s">
        <v>857</v>
      </c>
      <c r="H133" s="103"/>
      <c r="I133" s="104"/>
      <c r="J133" s="26">
        <v>50</v>
      </c>
      <c r="K133" s="26">
        <v>1</v>
      </c>
    </row>
    <row r="134" spans="2:11" s="34" customFormat="1" x14ac:dyDescent="0.25">
      <c r="B134" s="102" t="s">
        <v>860</v>
      </c>
      <c r="C134" s="103"/>
      <c r="D134" s="103"/>
      <c r="E134" s="103"/>
      <c r="F134" s="104"/>
      <c r="G134" s="102" t="s">
        <v>857</v>
      </c>
      <c r="H134" s="103"/>
      <c r="I134" s="104"/>
      <c r="J134" s="26">
        <v>50</v>
      </c>
      <c r="K134" s="26">
        <v>1</v>
      </c>
    </row>
    <row r="135" spans="2:11" s="34" customFormat="1" x14ac:dyDescent="0.25">
      <c r="B135" s="102" t="s">
        <v>861</v>
      </c>
      <c r="C135" s="103"/>
      <c r="D135" s="103"/>
      <c r="E135" s="103"/>
      <c r="F135" s="104"/>
      <c r="G135" s="102" t="s">
        <v>857</v>
      </c>
      <c r="H135" s="103"/>
      <c r="I135" s="104"/>
      <c r="J135" s="26">
        <v>50</v>
      </c>
      <c r="K135" s="26">
        <v>1</v>
      </c>
    </row>
    <row r="136" spans="2:11" s="34" customFormat="1" x14ac:dyDescent="0.25">
      <c r="B136" s="102" t="s">
        <v>862</v>
      </c>
      <c r="C136" s="103"/>
      <c r="D136" s="103"/>
      <c r="E136" s="103"/>
      <c r="F136" s="104"/>
      <c r="G136" s="102" t="s">
        <v>857</v>
      </c>
      <c r="H136" s="103"/>
      <c r="I136" s="104"/>
      <c r="J136" s="26">
        <v>50</v>
      </c>
      <c r="K136" s="26">
        <v>1</v>
      </c>
    </row>
    <row r="137" spans="2:11" s="34" customFormat="1" x14ac:dyDescent="0.25">
      <c r="B137" s="102" t="s">
        <v>863</v>
      </c>
      <c r="C137" s="103"/>
      <c r="D137" s="103"/>
      <c r="E137" s="103"/>
      <c r="F137" s="104"/>
      <c r="G137" s="102" t="s">
        <v>864</v>
      </c>
      <c r="H137" s="103"/>
      <c r="I137" s="104"/>
      <c r="J137" s="26">
        <v>6</v>
      </c>
      <c r="K137" s="26">
        <v>5</v>
      </c>
    </row>
    <row r="138" spans="2:11" s="34" customFormat="1" x14ac:dyDescent="0.25">
      <c r="B138" s="102" t="s">
        <v>865</v>
      </c>
      <c r="C138" s="103"/>
      <c r="D138" s="103"/>
      <c r="E138" s="103"/>
      <c r="F138" s="104"/>
      <c r="G138" s="102" t="s">
        <v>864</v>
      </c>
      <c r="H138" s="103"/>
      <c r="I138" s="104"/>
      <c r="J138" s="26">
        <v>3</v>
      </c>
      <c r="K138" s="26" t="s">
        <v>1</v>
      </c>
    </row>
    <row r="139" spans="2:11" s="34" customFormat="1" x14ac:dyDescent="0.25">
      <c r="B139" s="102" t="s">
        <v>866</v>
      </c>
      <c r="C139" s="103"/>
      <c r="D139" s="103"/>
      <c r="E139" s="103"/>
      <c r="F139" s="104"/>
      <c r="G139" s="102" t="s">
        <v>864</v>
      </c>
      <c r="H139" s="103"/>
      <c r="I139" s="104"/>
      <c r="J139" s="26">
        <v>0.3</v>
      </c>
      <c r="K139" s="26" t="s">
        <v>1</v>
      </c>
    </row>
    <row r="140" spans="2:11" s="34" customFormat="1" x14ac:dyDescent="0.25">
      <c r="B140" s="102" t="s">
        <v>867</v>
      </c>
      <c r="C140" s="103"/>
      <c r="D140" s="103"/>
      <c r="E140" s="103"/>
      <c r="F140" s="104"/>
      <c r="G140" s="102" t="s">
        <v>864</v>
      </c>
      <c r="H140" s="103"/>
      <c r="I140" s="104"/>
      <c r="J140" s="26">
        <v>2</v>
      </c>
      <c r="K140" s="26">
        <v>1</v>
      </c>
    </row>
    <row r="141" spans="2:11" s="34" customFormat="1" x14ac:dyDescent="0.25">
      <c r="B141" s="102" t="s">
        <v>868</v>
      </c>
      <c r="C141" s="103"/>
      <c r="D141" s="103"/>
      <c r="E141" s="103"/>
      <c r="F141" s="104"/>
      <c r="G141" s="102" t="s">
        <v>864</v>
      </c>
      <c r="H141" s="103"/>
      <c r="I141" s="104"/>
      <c r="J141" s="26">
        <v>10</v>
      </c>
      <c r="K141" s="26">
        <v>3</v>
      </c>
    </row>
    <row r="142" spans="2:11" s="34" customFormat="1" x14ac:dyDescent="0.25">
      <c r="B142" s="102" t="s">
        <v>869</v>
      </c>
      <c r="C142" s="103"/>
      <c r="D142" s="103"/>
      <c r="E142" s="103"/>
      <c r="F142" s="104"/>
      <c r="G142" s="102" t="s">
        <v>864</v>
      </c>
      <c r="H142" s="103"/>
      <c r="I142" s="104"/>
      <c r="J142" s="26">
        <v>20</v>
      </c>
      <c r="K142" s="26" t="s">
        <v>1</v>
      </c>
    </row>
    <row r="143" spans="2:11" s="34" customFormat="1" x14ac:dyDescent="0.25">
      <c r="B143" s="102" t="s">
        <v>870</v>
      </c>
      <c r="C143" s="103"/>
      <c r="D143" s="103"/>
      <c r="E143" s="103"/>
      <c r="F143" s="104"/>
      <c r="G143" s="102" t="s">
        <v>864</v>
      </c>
      <c r="H143" s="103"/>
      <c r="I143" s="104"/>
      <c r="J143" s="26">
        <v>5</v>
      </c>
      <c r="K143" s="26">
        <v>1</v>
      </c>
    </row>
    <row r="144" spans="2:11" s="34" customFormat="1" x14ac:dyDescent="0.25">
      <c r="B144" s="102" t="s">
        <v>871</v>
      </c>
      <c r="C144" s="103"/>
      <c r="D144" s="103"/>
      <c r="E144" s="103"/>
      <c r="F144" s="104"/>
      <c r="G144" s="102" t="s">
        <v>864</v>
      </c>
      <c r="H144" s="103"/>
      <c r="I144" s="104"/>
      <c r="J144" s="26">
        <v>3</v>
      </c>
      <c r="K144" s="26">
        <v>4</v>
      </c>
    </row>
    <row r="145" spans="2:11" s="34" customFormat="1" x14ac:dyDescent="0.25">
      <c r="B145" s="102" t="s">
        <v>872</v>
      </c>
      <c r="C145" s="103"/>
      <c r="D145" s="103"/>
      <c r="E145" s="103"/>
      <c r="F145" s="104"/>
      <c r="G145" s="102" t="s">
        <v>864</v>
      </c>
      <c r="H145" s="103"/>
      <c r="I145" s="104"/>
      <c r="J145" s="26">
        <v>1</v>
      </c>
      <c r="K145" s="26" t="s">
        <v>1</v>
      </c>
    </row>
    <row r="146" spans="2:11" s="34" customFormat="1" x14ac:dyDescent="0.25">
      <c r="B146" s="102" t="s">
        <v>873</v>
      </c>
      <c r="C146" s="103"/>
      <c r="D146" s="103"/>
      <c r="E146" s="103"/>
      <c r="F146" s="104"/>
      <c r="G146" s="102" t="s">
        <v>864</v>
      </c>
      <c r="H146" s="103"/>
      <c r="I146" s="104"/>
      <c r="J146" s="26">
        <v>25</v>
      </c>
      <c r="K146" s="26">
        <v>2</v>
      </c>
    </row>
    <row r="147" spans="2:11" s="34" customFormat="1" x14ac:dyDescent="0.25">
      <c r="B147" s="102" t="s">
        <v>874</v>
      </c>
      <c r="C147" s="103"/>
      <c r="D147" s="103"/>
      <c r="E147" s="103"/>
      <c r="F147" s="104"/>
      <c r="G147" s="102" t="s">
        <v>875</v>
      </c>
      <c r="H147" s="103"/>
      <c r="I147" s="104"/>
      <c r="J147" s="26">
        <v>40</v>
      </c>
      <c r="K147" s="26">
        <v>2</v>
      </c>
    </row>
    <row r="148" spans="2:11" s="34" customFormat="1" x14ac:dyDescent="0.25">
      <c r="B148" s="102" t="s">
        <v>876</v>
      </c>
      <c r="C148" s="103"/>
      <c r="D148" s="103"/>
      <c r="E148" s="103"/>
      <c r="F148" s="104"/>
      <c r="G148" s="102" t="s">
        <v>877</v>
      </c>
      <c r="H148" s="103"/>
      <c r="I148" s="104"/>
      <c r="J148" s="26">
        <v>3</v>
      </c>
      <c r="K148" s="26" t="s">
        <v>1</v>
      </c>
    </row>
    <row r="149" spans="2:11" s="34" customFormat="1" x14ac:dyDescent="0.25">
      <c r="B149" s="102" t="s">
        <v>878</v>
      </c>
      <c r="C149" s="103"/>
      <c r="D149" s="103"/>
      <c r="E149" s="103"/>
      <c r="F149" s="104"/>
      <c r="G149" s="102" t="s">
        <v>877</v>
      </c>
      <c r="H149" s="103"/>
      <c r="I149" s="104"/>
      <c r="J149" s="26">
        <v>20</v>
      </c>
      <c r="K149" s="26">
        <v>2</v>
      </c>
    </row>
    <row r="150" spans="2:11" s="34" customFormat="1" x14ac:dyDescent="0.25">
      <c r="B150" s="102" t="s">
        <v>879</v>
      </c>
      <c r="C150" s="103"/>
      <c r="D150" s="103"/>
      <c r="E150" s="103"/>
      <c r="F150" s="104"/>
      <c r="G150" s="102" t="s">
        <v>877</v>
      </c>
      <c r="H150" s="103"/>
      <c r="I150" s="104"/>
      <c r="J150" s="26">
        <v>15</v>
      </c>
      <c r="K150" s="26" t="s">
        <v>1</v>
      </c>
    </row>
    <row r="151" spans="2:11" s="34" customFormat="1" x14ac:dyDescent="0.25">
      <c r="B151" s="102" t="s">
        <v>880</v>
      </c>
      <c r="C151" s="103"/>
      <c r="D151" s="103"/>
      <c r="E151" s="103"/>
      <c r="F151" s="104"/>
      <c r="G151" s="102" t="s">
        <v>877</v>
      </c>
      <c r="H151" s="103"/>
      <c r="I151" s="104"/>
      <c r="J151" s="26">
        <v>10</v>
      </c>
      <c r="K151" s="26">
        <v>1</v>
      </c>
    </row>
    <row r="152" spans="2:11" s="34" customFormat="1" x14ac:dyDescent="0.25">
      <c r="B152" s="102" t="s">
        <v>881</v>
      </c>
      <c r="C152" s="103"/>
      <c r="D152" s="103"/>
      <c r="E152" s="103"/>
      <c r="F152" s="104"/>
      <c r="G152" s="102" t="s">
        <v>877</v>
      </c>
      <c r="H152" s="103"/>
      <c r="I152" s="104"/>
      <c r="J152" s="26">
        <v>1</v>
      </c>
      <c r="K152" s="26" t="s">
        <v>1</v>
      </c>
    </row>
    <row r="153" spans="2:11" s="34" customFormat="1" x14ac:dyDescent="0.25">
      <c r="B153" s="102" t="s">
        <v>882</v>
      </c>
      <c r="C153" s="103"/>
      <c r="D153" s="103"/>
      <c r="E153" s="103"/>
      <c r="F153" s="104"/>
      <c r="G153" s="102" t="s">
        <v>883</v>
      </c>
      <c r="H153" s="103"/>
      <c r="I153" s="104"/>
      <c r="J153" s="26">
        <v>100</v>
      </c>
      <c r="K153" s="26">
        <v>5</v>
      </c>
    </row>
    <row r="154" spans="2:11" s="34" customFormat="1" x14ac:dyDescent="0.25">
      <c r="B154" s="102" t="s">
        <v>884</v>
      </c>
      <c r="C154" s="103"/>
      <c r="D154" s="103"/>
      <c r="E154" s="103"/>
      <c r="F154" s="104"/>
      <c r="G154" s="102" t="s">
        <v>885</v>
      </c>
      <c r="H154" s="103"/>
      <c r="I154" s="104"/>
      <c r="J154" s="26">
        <v>119</v>
      </c>
      <c r="K154" s="26">
        <v>1</v>
      </c>
    </row>
    <row r="155" spans="2:11" s="34" customFormat="1" x14ac:dyDescent="0.25">
      <c r="B155" s="102" t="s">
        <v>886</v>
      </c>
      <c r="C155" s="103"/>
      <c r="D155" s="103"/>
      <c r="E155" s="103"/>
      <c r="F155" s="104"/>
      <c r="G155" s="102" t="s">
        <v>887</v>
      </c>
      <c r="H155" s="103"/>
      <c r="I155" s="104"/>
      <c r="J155" s="26">
        <v>200</v>
      </c>
      <c r="K155" s="26">
        <v>1</v>
      </c>
    </row>
    <row r="156" spans="2:11" s="34" customFormat="1" x14ac:dyDescent="0.25">
      <c r="B156" s="102" t="s">
        <v>888</v>
      </c>
      <c r="C156" s="103"/>
      <c r="D156" s="103"/>
      <c r="E156" s="103"/>
      <c r="F156" s="104"/>
      <c r="G156" s="102" t="s">
        <v>889</v>
      </c>
      <c r="H156" s="103"/>
      <c r="I156" s="104"/>
      <c r="J156" s="26">
        <v>100</v>
      </c>
      <c r="K156" s="26" t="s">
        <v>1</v>
      </c>
    </row>
    <row r="157" spans="2:11" s="34" customFormat="1" x14ac:dyDescent="0.25">
      <c r="B157" s="102" t="s">
        <v>890</v>
      </c>
      <c r="C157" s="103"/>
      <c r="D157" s="103"/>
      <c r="E157" s="103"/>
      <c r="F157" s="104"/>
      <c r="G157" s="102" t="s">
        <v>891</v>
      </c>
      <c r="H157" s="103"/>
      <c r="I157" s="104"/>
      <c r="J157" s="26">
        <v>10</v>
      </c>
      <c r="K157" s="26">
        <v>3</v>
      </c>
    </row>
    <row r="158" spans="2:11" s="34" customFormat="1" x14ac:dyDescent="0.25">
      <c r="B158" s="102" t="s">
        <v>892</v>
      </c>
      <c r="C158" s="103"/>
      <c r="D158" s="103"/>
      <c r="E158" s="103"/>
      <c r="F158" s="104"/>
      <c r="G158" s="102" t="s">
        <v>893</v>
      </c>
      <c r="H158" s="103"/>
      <c r="I158" s="104"/>
      <c r="J158" s="26">
        <v>100</v>
      </c>
      <c r="K158" s="26">
        <v>12</v>
      </c>
    </row>
    <row r="159" spans="2:11" s="34" customFormat="1" x14ac:dyDescent="0.25">
      <c r="B159" s="102" t="s">
        <v>894</v>
      </c>
      <c r="C159" s="103"/>
      <c r="D159" s="103"/>
      <c r="E159" s="103"/>
      <c r="F159" s="104"/>
      <c r="G159" s="102" t="s">
        <v>895</v>
      </c>
      <c r="H159" s="103"/>
      <c r="I159" s="104"/>
      <c r="J159" s="26">
        <v>10</v>
      </c>
      <c r="K159" s="26" t="s">
        <v>1</v>
      </c>
    </row>
    <row r="160" spans="2:11" s="34" customFormat="1" x14ac:dyDescent="0.25">
      <c r="B160" s="102" t="s">
        <v>896</v>
      </c>
      <c r="C160" s="103"/>
      <c r="D160" s="103"/>
      <c r="E160" s="103"/>
      <c r="F160" s="104"/>
      <c r="G160" s="102" t="s">
        <v>897</v>
      </c>
      <c r="H160" s="103"/>
      <c r="I160" s="104"/>
      <c r="J160" s="26">
        <v>15</v>
      </c>
      <c r="K160" s="26">
        <v>0.25</v>
      </c>
    </row>
    <row r="161" spans="2:27" s="34" customFormat="1" x14ac:dyDescent="0.25">
      <c r="B161" s="102" t="s">
        <v>898</v>
      </c>
      <c r="C161" s="103"/>
      <c r="D161" s="103"/>
      <c r="E161" s="103"/>
      <c r="F161" s="104"/>
      <c r="G161" s="102" t="s">
        <v>897</v>
      </c>
      <c r="H161" s="103"/>
      <c r="I161" s="104"/>
      <c r="J161" s="26">
        <v>40</v>
      </c>
      <c r="K161" s="26">
        <v>1</v>
      </c>
    </row>
    <row r="162" spans="2:27" s="34" customFormat="1" x14ac:dyDescent="0.25">
      <c r="B162" s="102" t="s">
        <v>904</v>
      </c>
      <c r="C162" s="103"/>
      <c r="D162" s="103"/>
      <c r="E162" s="103"/>
      <c r="F162" s="104"/>
      <c r="G162" s="102" t="s">
        <v>899</v>
      </c>
      <c r="H162" s="103"/>
      <c r="I162" s="104"/>
      <c r="J162" s="26">
        <v>315</v>
      </c>
      <c r="K162" s="26" t="s">
        <v>1</v>
      </c>
    </row>
    <row r="163" spans="2:27" s="34" customFormat="1" x14ac:dyDescent="0.25">
      <c r="B163" s="102" t="s">
        <v>900</v>
      </c>
      <c r="C163" s="103"/>
      <c r="D163" s="103"/>
      <c r="E163" s="103"/>
      <c r="F163" s="104"/>
      <c r="G163" s="102" t="s">
        <v>901</v>
      </c>
      <c r="H163" s="103"/>
      <c r="I163" s="104"/>
      <c r="J163" s="26">
        <v>2</v>
      </c>
      <c r="K163" s="26">
        <v>6</v>
      </c>
    </row>
    <row r="164" spans="2:27" s="34" customFormat="1" x14ac:dyDescent="0.25">
      <c r="B164" s="102" t="s">
        <v>902</v>
      </c>
      <c r="C164" s="103"/>
      <c r="D164" s="103"/>
      <c r="E164" s="103"/>
      <c r="F164" s="104"/>
      <c r="G164" s="102" t="s">
        <v>903</v>
      </c>
      <c r="H164" s="103"/>
      <c r="I164" s="104"/>
      <c r="J164" s="26">
        <v>9</v>
      </c>
      <c r="K164" s="26">
        <v>9</v>
      </c>
    </row>
    <row r="165" spans="2:27" x14ac:dyDescent="0.25">
      <c r="B165" s="102"/>
      <c r="C165" s="103"/>
      <c r="D165" s="103"/>
      <c r="E165" s="103"/>
      <c r="F165" s="104"/>
      <c r="G165" s="102"/>
      <c r="H165" s="103"/>
      <c r="I165" s="104"/>
      <c r="J165" s="26"/>
      <c r="K165" s="26"/>
      <c r="L165" s="1"/>
      <c r="M165" s="1"/>
      <c r="N165" s="1"/>
      <c r="O165" s="1"/>
      <c r="P165" s="1"/>
      <c r="Q165" s="1"/>
      <c r="R165" s="1"/>
      <c r="S165" s="1"/>
      <c r="T165" s="1"/>
      <c r="U165" s="1"/>
      <c r="V165" s="1"/>
      <c r="W165" s="1"/>
      <c r="X165" s="1"/>
      <c r="Y165" s="1"/>
      <c r="Z165" s="1"/>
      <c r="AA165" s="1"/>
    </row>
    <row r="166" spans="2:27" x14ac:dyDescent="0.25">
      <c r="B166" s="102"/>
      <c r="C166" s="103"/>
      <c r="D166" s="103"/>
      <c r="E166" s="103"/>
      <c r="F166" s="104"/>
      <c r="G166" s="102"/>
      <c r="H166" s="103"/>
      <c r="I166" s="104"/>
      <c r="J166" s="26"/>
      <c r="K166" s="26"/>
      <c r="L166" s="1"/>
      <c r="M166" s="1"/>
      <c r="N166" s="1"/>
      <c r="O166" s="1"/>
      <c r="P166" s="1"/>
      <c r="Q166" s="1"/>
      <c r="R166" s="1"/>
      <c r="S166" s="1"/>
      <c r="T166" s="1"/>
      <c r="U166" s="1"/>
      <c r="V166" s="1"/>
      <c r="W166" s="1"/>
      <c r="X166" s="1"/>
      <c r="Y166" s="1"/>
      <c r="Z166" s="1"/>
      <c r="AA166" s="1"/>
    </row>
    <row r="167" spans="2:27" x14ac:dyDescent="0.25">
      <c r="B167" s="102"/>
      <c r="C167" s="103"/>
      <c r="D167" s="103"/>
      <c r="E167" s="103"/>
      <c r="F167" s="104"/>
      <c r="G167" s="102"/>
      <c r="H167" s="103"/>
      <c r="I167" s="104"/>
      <c r="J167" s="26"/>
      <c r="K167" s="26"/>
      <c r="L167" s="1"/>
      <c r="M167" s="1"/>
      <c r="N167" s="1"/>
      <c r="O167" s="1"/>
      <c r="P167" s="1"/>
      <c r="Q167" s="1"/>
      <c r="R167" s="1"/>
      <c r="S167" s="1"/>
      <c r="T167" s="1"/>
      <c r="U167" s="1"/>
      <c r="V167" s="1"/>
      <c r="W167" s="1"/>
      <c r="X167" s="1"/>
      <c r="Y167" s="1"/>
      <c r="Z167" s="1"/>
      <c r="AA167" s="1"/>
    </row>
    <row r="168" spans="2:27" x14ac:dyDescent="0.25">
      <c r="B168" s="102"/>
      <c r="C168" s="103"/>
      <c r="D168" s="103"/>
      <c r="E168" s="103"/>
      <c r="F168" s="104"/>
      <c r="G168" s="102"/>
      <c r="H168" s="103"/>
      <c r="I168" s="104"/>
      <c r="J168" s="26"/>
      <c r="K168" s="26"/>
      <c r="L168" s="1"/>
      <c r="M168" s="1"/>
      <c r="N168" s="1"/>
      <c r="O168" s="1"/>
      <c r="P168" s="1"/>
      <c r="Q168" s="1"/>
      <c r="R168" s="1"/>
      <c r="S168" s="1"/>
      <c r="T168" s="1"/>
      <c r="U168" s="1"/>
      <c r="V168" s="1"/>
      <c r="W168" s="1"/>
      <c r="X168" s="1"/>
      <c r="Y168" s="1"/>
      <c r="Z168" s="1"/>
      <c r="AA168" s="1"/>
    </row>
    <row r="169" spans="2:27" x14ac:dyDescent="0.25">
      <c r="B169" s="102" t="s">
        <v>54</v>
      </c>
      <c r="C169" s="103"/>
      <c r="D169" s="103"/>
      <c r="E169" s="103"/>
      <c r="F169" s="104"/>
      <c r="G169" s="102" t="s">
        <v>1</v>
      </c>
      <c r="H169" s="103"/>
      <c r="I169" s="104"/>
      <c r="J169" s="31">
        <f>(D191/100+D192/10)</f>
        <v>0</v>
      </c>
      <c r="K169" s="31">
        <f>(E191+E192)</f>
        <v>0</v>
      </c>
      <c r="L169" s="1"/>
      <c r="M169" s="1"/>
      <c r="N169" s="1"/>
      <c r="O169" s="1"/>
      <c r="P169" s="1"/>
      <c r="Q169" s="1"/>
      <c r="R169" s="1"/>
      <c r="S169" s="1"/>
      <c r="T169" s="1"/>
      <c r="U169" s="1"/>
      <c r="V169" s="1"/>
      <c r="W169" s="1"/>
      <c r="X169" s="1"/>
      <c r="Y169" s="1"/>
      <c r="Z169" s="1"/>
      <c r="AA169" s="1"/>
    </row>
    <row r="170" spans="2:27" x14ac:dyDescent="0.25">
      <c r="B170" s="102" t="s">
        <v>56</v>
      </c>
      <c r="C170" s="103"/>
      <c r="D170" s="103"/>
      <c r="E170" s="103"/>
      <c r="F170" s="104"/>
      <c r="G170" s="102" t="s">
        <v>1</v>
      </c>
      <c r="H170" s="103"/>
      <c r="I170" s="104"/>
      <c r="J170" s="31">
        <f>(D193)</f>
        <v>0</v>
      </c>
      <c r="K170" s="31">
        <f>(E193)</f>
        <v>0</v>
      </c>
      <c r="L170" s="1"/>
      <c r="M170" s="1"/>
      <c r="N170" s="1"/>
      <c r="O170" s="1"/>
      <c r="P170" s="1"/>
      <c r="Q170" s="1"/>
      <c r="R170" s="1"/>
      <c r="S170" s="1"/>
      <c r="T170" s="1"/>
      <c r="U170" s="1"/>
      <c r="V170" s="1"/>
      <c r="W170" s="1"/>
      <c r="X170" s="1"/>
      <c r="Y170" s="1"/>
      <c r="Z170" s="1"/>
      <c r="AA170" s="1"/>
    </row>
    <row r="171" spans="2:27" x14ac:dyDescent="0.25">
      <c r="B171" s="102" t="s">
        <v>57</v>
      </c>
      <c r="C171" s="103"/>
      <c r="D171" s="103"/>
      <c r="E171" s="103"/>
      <c r="F171" s="104"/>
      <c r="G171" s="102" t="s">
        <v>1</v>
      </c>
      <c r="H171" s="103"/>
      <c r="I171" s="104"/>
      <c r="J171" s="31">
        <f>(D194*10)</f>
        <v>0</v>
      </c>
      <c r="K171" s="31">
        <f>(E194)</f>
        <v>0</v>
      </c>
      <c r="L171" s="1"/>
      <c r="M171" s="1"/>
      <c r="N171" s="1"/>
      <c r="O171" s="1"/>
      <c r="P171" s="1"/>
      <c r="Q171" s="1"/>
      <c r="R171" s="1"/>
      <c r="S171" s="1"/>
      <c r="T171" s="1"/>
      <c r="U171" s="1"/>
      <c r="V171" s="1"/>
      <c r="W171" s="1"/>
      <c r="X171" s="1"/>
      <c r="Y171" s="1"/>
      <c r="Z171" s="1"/>
      <c r="AA171" s="1"/>
    </row>
    <row r="172" spans="2:27" x14ac:dyDescent="0.25">
      <c r="B172" s="102" t="s">
        <v>44</v>
      </c>
      <c r="C172" s="103"/>
      <c r="D172" s="103"/>
      <c r="E172" s="103"/>
      <c r="F172" s="103"/>
      <c r="G172" s="103"/>
      <c r="H172" s="103"/>
      <c r="I172" s="103"/>
      <c r="J172" s="104"/>
      <c r="K172" s="31">
        <f>SUM(K111:K171)</f>
        <v>115.25</v>
      </c>
      <c r="L172" s="1"/>
      <c r="M172" s="1"/>
      <c r="N172" s="1"/>
      <c r="O172" s="1"/>
      <c r="P172" s="1"/>
      <c r="Q172" s="1"/>
      <c r="R172" s="1"/>
      <c r="S172" s="1"/>
      <c r="T172" s="1"/>
      <c r="U172" s="1"/>
      <c r="V172" s="1"/>
      <c r="W172" s="1"/>
      <c r="X172" s="1"/>
      <c r="Y172" s="1"/>
      <c r="Z172" s="1"/>
      <c r="AA172" s="1"/>
    </row>
    <row r="173" spans="2:27"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2:27" x14ac:dyDescent="0.25">
      <c r="B174" s="7" t="s">
        <v>45</v>
      </c>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2:27" x14ac:dyDescent="0.25">
      <c r="B175" s="156" t="s">
        <v>41</v>
      </c>
      <c r="C175" s="157"/>
      <c r="D175" s="157"/>
      <c r="E175" s="157"/>
      <c r="F175" s="158"/>
      <c r="G175" s="156" t="s">
        <v>42</v>
      </c>
      <c r="H175" s="157"/>
      <c r="I175" s="158"/>
      <c r="J175" s="46" t="s">
        <v>58</v>
      </c>
      <c r="K175" s="46" t="s">
        <v>176</v>
      </c>
      <c r="L175" s="1"/>
      <c r="M175" s="1"/>
      <c r="N175" s="1"/>
      <c r="O175" s="1"/>
      <c r="P175" s="1"/>
      <c r="Q175" s="1"/>
      <c r="R175" s="1"/>
      <c r="S175" s="1"/>
      <c r="T175" s="1"/>
      <c r="U175" s="1"/>
      <c r="V175" s="1"/>
      <c r="W175" s="1"/>
      <c r="X175" s="1"/>
      <c r="Y175" s="1"/>
      <c r="Z175" s="1"/>
      <c r="AA175" s="1"/>
    </row>
    <row r="176" spans="2:27" x14ac:dyDescent="0.25">
      <c r="B176" s="102"/>
      <c r="C176" s="103"/>
      <c r="D176" s="103"/>
      <c r="E176" s="103"/>
      <c r="F176" s="104"/>
      <c r="G176" s="102"/>
      <c r="H176" s="103"/>
      <c r="I176" s="104"/>
      <c r="J176" s="26"/>
      <c r="K176" s="26"/>
      <c r="L176" s="1"/>
      <c r="M176" s="1"/>
      <c r="N176" s="1"/>
      <c r="O176" s="1"/>
      <c r="P176" s="1"/>
      <c r="Q176" s="1"/>
      <c r="R176" s="1"/>
      <c r="S176" s="1"/>
      <c r="T176" s="1"/>
      <c r="U176" s="1"/>
      <c r="V176" s="1"/>
      <c r="W176" s="1"/>
      <c r="X176" s="1"/>
      <c r="Y176" s="1"/>
      <c r="Z176" s="1"/>
      <c r="AA176" s="1"/>
    </row>
    <row r="177" spans="2:27" x14ac:dyDescent="0.25">
      <c r="B177" s="102"/>
      <c r="C177" s="103"/>
      <c r="D177" s="103"/>
      <c r="E177" s="103"/>
      <c r="F177" s="104"/>
      <c r="G177" s="102"/>
      <c r="H177" s="103"/>
      <c r="I177" s="104"/>
      <c r="J177" s="26"/>
      <c r="K177" s="26"/>
      <c r="L177" s="1"/>
      <c r="M177" s="1"/>
      <c r="N177" s="1"/>
      <c r="O177" s="1"/>
      <c r="P177" s="1"/>
      <c r="Q177" s="1"/>
      <c r="R177" s="1"/>
      <c r="S177" s="1"/>
      <c r="T177" s="1"/>
      <c r="U177" s="1"/>
      <c r="V177" s="1"/>
      <c r="W177" s="1"/>
      <c r="X177" s="1"/>
      <c r="Y177" s="1"/>
      <c r="Z177" s="1"/>
      <c r="AA177" s="1"/>
    </row>
    <row r="178" spans="2:27" x14ac:dyDescent="0.25">
      <c r="B178" s="102"/>
      <c r="C178" s="103"/>
      <c r="D178" s="103"/>
      <c r="E178" s="103"/>
      <c r="F178" s="104"/>
      <c r="G178" s="102"/>
      <c r="H178" s="103"/>
      <c r="I178" s="104"/>
      <c r="J178" s="26"/>
      <c r="K178" s="26"/>
      <c r="L178" s="1"/>
      <c r="M178" s="1"/>
      <c r="N178" s="1"/>
      <c r="O178" s="1"/>
      <c r="P178" s="1"/>
      <c r="Q178" s="1"/>
      <c r="R178" s="1"/>
      <c r="S178" s="1"/>
      <c r="T178" s="1"/>
      <c r="U178" s="1"/>
      <c r="V178" s="1"/>
      <c r="W178" s="1"/>
      <c r="X178" s="1"/>
      <c r="Y178" s="1"/>
      <c r="Z178" s="1"/>
      <c r="AA178" s="1"/>
    </row>
    <row r="179" spans="2:27" x14ac:dyDescent="0.25">
      <c r="B179" s="102" t="s">
        <v>44</v>
      </c>
      <c r="C179" s="103"/>
      <c r="D179" s="103"/>
      <c r="E179" s="103"/>
      <c r="F179" s="103"/>
      <c r="G179" s="103"/>
      <c r="H179" s="103"/>
      <c r="I179" s="103"/>
      <c r="J179" s="104"/>
      <c r="K179" s="31">
        <f>SUM(K176:K178)</f>
        <v>0</v>
      </c>
      <c r="L179" s="1"/>
      <c r="M179" s="1"/>
      <c r="N179" s="1"/>
      <c r="O179" s="1"/>
      <c r="P179" s="1"/>
      <c r="Q179" s="1"/>
      <c r="R179" s="1"/>
      <c r="S179" s="1"/>
      <c r="T179" s="1"/>
      <c r="U179" s="1"/>
      <c r="V179" s="1"/>
      <c r="W179" s="1"/>
      <c r="X179" s="1"/>
      <c r="Y179" s="1"/>
      <c r="Z179" s="1"/>
      <c r="AA179" s="1"/>
    </row>
    <row r="180" spans="2:27"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2:27" x14ac:dyDescent="0.25">
      <c r="B181" s="7" t="s">
        <v>46</v>
      </c>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2:27" x14ac:dyDescent="0.25">
      <c r="B182" s="156" t="s">
        <v>41</v>
      </c>
      <c r="C182" s="157"/>
      <c r="D182" s="157"/>
      <c r="E182" s="157"/>
      <c r="F182" s="158"/>
      <c r="G182" s="156" t="s">
        <v>42</v>
      </c>
      <c r="H182" s="157"/>
      <c r="I182" s="158"/>
      <c r="J182" s="46" t="s">
        <v>58</v>
      </c>
      <c r="K182" s="46" t="s">
        <v>176</v>
      </c>
      <c r="L182" s="1"/>
      <c r="M182" s="1"/>
      <c r="N182" s="1"/>
      <c r="O182" s="1"/>
      <c r="P182" s="1"/>
      <c r="Q182" s="1"/>
      <c r="R182" s="1"/>
      <c r="S182" s="1"/>
      <c r="T182" s="1"/>
      <c r="U182" s="1"/>
      <c r="V182" s="1"/>
      <c r="W182" s="1"/>
      <c r="X182" s="1"/>
      <c r="Y182" s="1"/>
      <c r="Z182" s="1"/>
      <c r="AA182" s="1"/>
    </row>
    <row r="183" spans="2:27" s="34" customFormat="1" x14ac:dyDescent="0.25">
      <c r="B183" s="102" t="s">
        <v>905</v>
      </c>
      <c r="C183" s="103"/>
      <c r="D183" s="103"/>
      <c r="E183" s="103"/>
      <c r="F183" s="104"/>
      <c r="G183" s="102" t="s">
        <v>901</v>
      </c>
      <c r="H183" s="103"/>
      <c r="I183" s="104"/>
      <c r="J183" s="26">
        <v>50</v>
      </c>
      <c r="K183" s="26">
        <v>8</v>
      </c>
    </row>
    <row r="184" spans="2:27" s="34" customFormat="1" x14ac:dyDescent="0.25">
      <c r="B184" s="102" t="s">
        <v>906</v>
      </c>
      <c r="C184" s="103"/>
      <c r="D184" s="103"/>
      <c r="E184" s="103"/>
      <c r="F184" s="104"/>
      <c r="G184" s="102" t="s">
        <v>835</v>
      </c>
      <c r="H184" s="103"/>
      <c r="I184" s="104"/>
      <c r="J184" s="26">
        <v>15</v>
      </c>
      <c r="K184" s="26">
        <v>4</v>
      </c>
    </row>
    <row r="185" spans="2:27" s="34" customFormat="1" x14ac:dyDescent="0.25">
      <c r="B185" s="102" t="s">
        <v>907</v>
      </c>
      <c r="C185" s="103"/>
      <c r="D185" s="103"/>
      <c r="E185" s="103"/>
      <c r="F185" s="104"/>
      <c r="G185" s="102" t="s">
        <v>901</v>
      </c>
      <c r="H185" s="103"/>
      <c r="I185" s="104"/>
      <c r="J185" s="26">
        <v>75</v>
      </c>
      <c r="K185" s="26">
        <v>3</v>
      </c>
    </row>
    <row r="186" spans="2:27" x14ac:dyDescent="0.25">
      <c r="B186" s="102"/>
      <c r="C186" s="103"/>
      <c r="D186" s="103"/>
      <c r="E186" s="103"/>
      <c r="F186" s="104"/>
      <c r="G186" s="102"/>
      <c r="H186" s="103"/>
      <c r="I186" s="104"/>
      <c r="J186" s="26"/>
      <c r="K186" s="26"/>
      <c r="L186" s="1"/>
      <c r="M186" s="1"/>
      <c r="N186" s="1"/>
      <c r="O186" s="1"/>
      <c r="P186" s="1"/>
      <c r="Q186" s="1"/>
      <c r="R186" s="1"/>
      <c r="S186" s="1"/>
      <c r="T186" s="1"/>
      <c r="U186" s="1"/>
      <c r="V186" s="1"/>
      <c r="W186" s="1"/>
      <c r="X186" s="1"/>
      <c r="Y186" s="1"/>
      <c r="Z186" s="1"/>
      <c r="AA186" s="1"/>
    </row>
    <row r="187" spans="2:27" x14ac:dyDescent="0.25">
      <c r="B187" s="102"/>
      <c r="C187" s="103"/>
      <c r="D187" s="103"/>
      <c r="E187" s="103"/>
      <c r="F187" s="104"/>
      <c r="G187" s="102"/>
      <c r="H187" s="103"/>
      <c r="I187" s="104"/>
      <c r="J187" s="26"/>
      <c r="K187" s="26"/>
      <c r="L187" s="1"/>
      <c r="M187" s="1"/>
      <c r="N187" s="1"/>
      <c r="O187" s="1"/>
      <c r="P187" s="1"/>
      <c r="Q187" s="1"/>
      <c r="R187" s="1"/>
      <c r="S187" s="1"/>
      <c r="T187" s="1"/>
      <c r="U187" s="1"/>
      <c r="V187" s="1"/>
      <c r="W187" s="1"/>
      <c r="X187" s="1"/>
      <c r="Y187" s="1"/>
      <c r="Z187" s="1"/>
      <c r="AA187" s="1"/>
    </row>
    <row r="188" spans="2:27"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2:27" x14ac:dyDescent="0.25">
      <c r="B189" s="7" t="s">
        <v>47</v>
      </c>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2:27" x14ac:dyDescent="0.25">
      <c r="B190" s="111" t="s">
        <v>49</v>
      </c>
      <c r="C190" s="111"/>
      <c r="D190" s="43" t="s">
        <v>48</v>
      </c>
      <c r="E190" s="46" t="s">
        <v>176</v>
      </c>
      <c r="F190" s="1"/>
      <c r="G190" s="1"/>
      <c r="H190" s="1"/>
      <c r="I190" s="1"/>
      <c r="J190" s="1"/>
      <c r="K190" s="1"/>
      <c r="L190" s="1"/>
      <c r="M190" s="1"/>
      <c r="N190" s="1"/>
      <c r="O190" s="1"/>
      <c r="P190" s="1"/>
      <c r="Q190" s="1"/>
      <c r="R190" s="1"/>
      <c r="S190" s="1"/>
      <c r="T190" s="1"/>
      <c r="U190" s="1"/>
      <c r="V190" s="1"/>
      <c r="W190" s="1"/>
      <c r="X190" s="1"/>
      <c r="Y190" s="1"/>
      <c r="Z190" s="1"/>
      <c r="AA190" s="1"/>
    </row>
    <row r="191" spans="2:27" x14ac:dyDescent="0.25">
      <c r="B191" s="111" t="s">
        <v>50</v>
      </c>
      <c r="C191" s="111"/>
      <c r="D191" s="51">
        <v>0</v>
      </c>
      <c r="E191" s="45">
        <f>(D191*0.02)</f>
        <v>0</v>
      </c>
      <c r="F191" s="1"/>
      <c r="G191" s="1"/>
      <c r="H191" s="1"/>
      <c r="I191" s="1"/>
      <c r="J191" s="1"/>
      <c r="K191" s="1"/>
      <c r="L191" s="1"/>
      <c r="M191" s="1"/>
      <c r="N191" s="1"/>
      <c r="O191" s="1"/>
      <c r="P191" s="1"/>
      <c r="Q191" s="1"/>
      <c r="R191" s="1"/>
      <c r="S191" s="1"/>
      <c r="T191" s="1"/>
      <c r="U191" s="1"/>
      <c r="V191" s="1"/>
      <c r="W191" s="1"/>
      <c r="X191" s="1"/>
      <c r="Y191" s="1"/>
      <c r="Z191" s="1"/>
      <c r="AA191" s="1"/>
    </row>
    <row r="192" spans="2:27" x14ac:dyDescent="0.25">
      <c r="B192" s="111" t="s">
        <v>51</v>
      </c>
      <c r="C192" s="111"/>
      <c r="D192" s="51">
        <v>0</v>
      </c>
      <c r="E192" s="45">
        <f>(D192*0.02)</f>
        <v>0</v>
      </c>
      <c r="F192" s="1"/>
      <c r="G192" s="1"/>
      <c r="H192" s="1"/>
      <c r="I192" s="1"/>
      <c r="J192" s="1"/>
      <c r="K192" s="1"/>
      <c r="L192" s="1"/>
      <c r="M192" s="1"/>
      <c r="N192" s="1"/>
      <c r="O192" s="1"/>
      <c r="P192" s="1"/>
      <c r="Q192" s="1"/>
      <c r="R192" s="1"/>
      <c r="S192" s="1"/>
      <c r="T192" s="1"/>
      <c r="U192" s="1"/>
      <c r="V192" s="1"/>
      <c r="W192" s="1"/>
      <c r="X192" s="1"/>
      <c r="Y192" s="1"/>
      <c r="Z192" s="1"/>
      <c r="AA192" s="1"/>
    </row>
    <row r="193" spans="2:27" x14ac:dyDescent="0.25">
      <c r="B193" s="111" t="s">
        <v>55</v>
      </c>
      <c r="C193" s="111"/>
      <c r="D193" s="51">
        <v>0</v>
      </c>
      <c r="E193" s="45">
        <f>(D193*0.02)</f>
        <v>0</v>
      </c>
      <c r="F193" s="1"/>
      <c r="G193" s="1"/>
      <c r="H193" s="1"/>
      <c r="I193" s="1"/>
      <c r="J193" s="1"/>
      <c r="K193" s="1"/>
      <c r="L193" s="1"/>
      <c r="M193" s="1"/>
      <c r="N193" s="1"/>
      <c r="O193" s="1"/>
      <c r="P193" s="1"/>
      <c r="Q193" s="1"/>
      <c r="R193" s="1"/>
      <c r="S193" s="1"/>
      <c r="T193" s="1"/>
      <c r="U193" s="1"/>
      <c r="V193" s="1"/>
      <c r="W193" s="1"/>
      <c r="X193" s="1"/>
      <c r="Y193" s="1"/>
      <c r="Z193" s="1"/>
      <c r="AA193" s="1"/>
    </row>
    <row r="194" spans="2:27" x14ac:dyDescent="0.25">
      <c r="B194" s="111" t="s">
        <v>52</v>
      </c>
      <c r="C194" s="111"/>
      <c r="D194" s="51">
        <v>0</v>
      </c>
      <c r="E194" s="45">
        <f>(D194*0.02)</f>
        <v>0</v>
      </c>
      <c r="F194" s="1"/>
      <c r="G194" s="1"/>
      <c r="H194" s="1"/>
      <c r="I194" s="1"/>
      <c r="J194" s="1"/>
      <c r="K194" s="1"/>
      <c r="L194" s="1"/>
      <c r="M194" s="1"/>
      <c r="N194" s="1"/>
      <c r="O194" s="1"/>
      <c r="P194" s="1"/>
      <c r="Q194" s="1"/>
      <c r="R194" s="1"/>
      <c r="S194" s="1"/>
      <c r="T194" s="1"/>
      <c r="U194" s="1"/>
      <c r="V194" s="1"/>
      <c r="W194" s="1"/>
      <c r="X194" s="1"/>
      <c r="Y194" s="1"/>
      <c r="Z194" s="1"/>
      <c r="AA194" s="1"/>
    </row>
    <row r="195" spans="2:27" x14ac:dyDescent="0.25">
      <c r="B195" s="151" t="s">
        <v>53</v>
      </c>
      <c r="C195" s="152"/>
      <c r="D195" s="45">
        <v>0</v>
      </c>
      <c r="E195" s="51" t="s">
        <v>1</v>
      </c>
      <c r="F195" s="1"/>
      <c r="G195" s="1"/>
      <c r="H195" s="1"/>
      <c r="I195" s="1"/>
      <c r="J195" s="1"/>
      <c r="K195" s="1"/>
      <c r="L195" s="1"/>
      <c r="M195" s="1"/>
      <c r="N195" s="1"/>
      <c r="O195" s="1"/>
      <c r="P195" s="1"/>
      <c r="Q195" s="1"/>
      <c r="R195" s="1"/>
      <c r="S195" s="1"/>
      <c r="T195" s="1"/>
      <c r="U195" s="1"/>
      <c r="V195" s="1"/>
      <c r="W195" s="1"/>
      <c r="X195" s="1"/>
      <c r="Y195" s="1"/>
      <c r="Z195" s="1"/>
      <c r="AA195" s="1"/>
    </row>
    <row r="196" spans="2:27" x14ac:dyDescent="0.25">
      <c r="B196" s="156" t="s">
        <v>66</v>
      </c>
      <c r="C196" s="158"/>
      <c r="D196" s="45">
        <f>(SUM(J97:J107)+SUM(J111:J171)+SUM(J176:J178)+SUM(J186:J187)+SUM(J84:J87)+SUM(J91:J93))</f>
        <v>1658.22</v>
      </c>
      <c r="E196" s="51" t="s">
        <v>1</v>
      </c>
      <c r="F196" s="1"/>
      <c r="G196" s="1"/>
      <c r="H196" s="1"/>
      <c r="I196" s="1"/>
      <c r="J196" s="1"/>
      <c r="K196" s="1"/>
      <c r="L196" s="1"/>
      <c r="M196" s="1"/>
      <c r="N196" s="1"/>
      <c r="O196" s="1"/>
      <c r="P196" s="1"/>
      <c r="Q196" s="1"/>
      <c r="R196" s="1"/>
      <c r="S196" s="1"/>
      <c r="T196" s="1"/>
      <c r="U196" s="1"/>
      <c r="V196" s="1"/>
      <c r="W196" s="1"/>
      <c r="X196" s="1"/>
      <c r="Y196" s="1"/>
      <c r="Z196" s="1"/>
      <c r="AA196" s="1"/>
    </row>
    <row r="197" spans="2:27"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2:27" x14ac:dyDescent="0.25">
      <c r="B198" s="7" t="s">
        <v>59</v>
      </c>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2:27" s="7" customFormat="1" x14ac:dyDescent="0.25">
      <c r="B199" s="111" t="s">
        <v>62</v>
      </c>
      <c r="C199" s="111"/>
      <c r="D199" s="111"/>
      <c r="E199" s="111" t="s">
        <v>63</v>
      </c>
      <c r="F199" s="111"/>
      <c r="G199" s="111"/>
      <c r="H199" s="111" t="s">
        <v>64</v>
      </c>
      <c r="I199" s="111"/>
      <c r="J199" s="111"/>
      <c r="K199" s="111" t="s">
        <v>65</v>
      </c>
      <c r="L199" s="111"/>
      <c r="M199" s="111" t="s">
        <v>60</v>
      </c>
      <c r="N199" s="111"/>
      <c r="O199" s="111"/>
      <c r="P199" s="111" t="s">
        <v>61</v>
      </c>
      <c r="Q199" s="111"/>
    </row>
    <row r="200" spans="2:27" x14ac:dyDescent="0.25">
      <c r="B200" s="154">
        <f>LOOKUP(I65, {1,2,3,4,5,6,7,8,9,10,11,12,13,14,15,16,17,18,19,20,21,22,23,24,25,26,27,28,29,30,31,32,33,34,35,36,37,38,39,40}, {3,6,10,13,16,20,23,26,30,33,38,43,50,58,66,76,86,100,116,133,153,173,200,233,266,306,346,400,466,532,612,692,800,932,1064,1224,1384,1600,1864,2128})</f>
        <v>173</v>
      </c>
      <c r="C200" s="154"/>
      <c r="D200" s="154"/>
      <c r="E200" s="154">
        <f>LOOKUP(I65, {1,2,3,4,5,6,7,8,9,10,11,12,13,14,15,16,17,18,19,20,21,22,23,24,25,26,27,28,29,30,31,32,33,34,35,36,37,38,39,40}, {6,13,20,26,33,40,46,53,60,66,76,86,100,116,133,153,173,200,233,266,306,346,400,466,533,613,693,800,933,1064,1224,1384,1600,1864,2132,2452,2772,3200,3732,4256})</f>
        <v>346</v>
      </c>
      <c r="F200" s="154"/>
      <c r="G200" s="154"/>
      <c r="H200" s="154">
        <f>LOOKUP(I65, {1,2,3,4,5,6,7,8,9,10,11,12,13,14,15,16,17,18,19,20,21,22,23,24,25,26,27,28,29,30,31,32,33,34,35,36,37,38,39,40}, {10,20,30,40,50,60,70,80,90,100,115,130,150,175,200,230,260,300,350,400,460,520,600,700,800,920,1040,1200,1400,1600,1840,2080,2400,2800,3200,3680,4160,4800,5600,6400})</f>
        <v>520</v>
      </c>
      <c r="I200" s="154"/>
      <c r="J200" s="154"/>
      <c r="K200" s="154">
        <f>SUM(L97:M107)+SUM(K186:K187)+SUM(K84:K87)+SUM(K91:K93)</f>
        <v>0</v>
      </c>
      <c r="L200" s="154"/>
      <c r="M200" s="188">
        <v>30</v>
      </c>
      <c r="N200" s="188"/>
      <c r="O200" s="188"/>
      <c r="P200" s="154">
        <f>IF(M200&gt;=30,M200-(IF(B200&gt;=K200,0,10)),M200-(IF(B200&gt;=K200,0,5)))-IF(SUM(P84:Q87)&gt;0,IF(M200&gt;=30,10,5))</f>
        <v>30</v>
      </c>
      <c r="Q200" s="154"/>
      <c r="R200" s="17">
        <f>IF(AND(K200&gt;B200,K200&lt;=E200),-3,IF(AND(K200&gt;E200,K200&lt;=H200),-6,0))</f>
        <v>0</v>
      </c>
      <c r="S200" s="1"/>
      <c r="T200" s="1"/>
      <c r="U200" s="1"/>
      <c r="V200" s="1"/>
      <c r="W200" s="1"/>
      <c r="X200" s="1"/>
      <c r="Y200" s="1"/>
      <c r="Z200" s="1"/>
      <c r="AA200" s="1"/>
    </row>
    <row r="201" spans="2:27" s="7" customFormat="1" x14ac:dyDescent="0.25">
      <c r="B201" s="111" t="s">
        <v>62</v>
      </c>
      <c r="C201" s="111"/>
      <c r="D201" s="111"/>
      <c r="E201" s="111" t="s">
        <v>63</v>
      </c>
      <c r="F201" s="111"/>
      <c r="G201" s="111"/>
      <c r="H201" s="111" t="s">
        <v>64</v>
      </c>
      <c r="I201" s="111"/>
      <c r="J201" s="111"/>
      <c r="K201" s="111" t="s">
        <v>65</v>
      </c>
      <c r="L201" s="111"/>
      <c r="M201" s="111" t="s">
        <v>263</v>
      </c>
      <c r="N201" s="111"/>
      <c r="O201" s="111"/>
      <c r="P201" s="111" t="s">
        <v>262</v>
      </c>
      <c r="Q201" s="111"/>
    </row>
    <row r="202" spans="2:27" x14ac:dyDescent="0.25">
      <c r="B202" s="154">
        <f>LOOKUP(I65, {1,2,3,4,5,6,7,8,9,10,11,12,13,14,15,16,17,18,19,20,21,22,23,24,25,26,27,28,29,30,31,32,33,34,35,36,37,38,39,40}, {3,6,10,13,16,20,23,26,30,33,38,43,50,58,66,76,86,100,116,133,153,173,200,233,266,306,346,400,466,532,612,692,800,932,1064,1224,1384,1600,1864,2128})</f>
        <v>173</v>
      </c>
      <c r="C202" s="154"/>
      <c r="D202" s="154"/>
      <c r="E202" s="154">
        <f>LOOKUP(I65, {1,2,3,4,5,6,7,8,9,10,11,12,13,14,15,16,17,18,19,20,21,22,23,24,25,26,27,28,29,30,31,32,33,34,35,36,37,38,39,40}, {6,13,20,26,33,40,46,53,60,66,76,86,100,116,133,153,173,200,233,266,306,346,400,466,533,613,693,800,933,1064,1224,1384,1600,1864,2132,2452,2772,3200,3732,4256})</f>
        <v>346</v>
      </c>
      <c r="F202" s="154"/>
      <c r="G202" s="154"/>
      <c r="H202" s="154">
        <f>LOOKUP(I65, {1,2,3,4,5,6,7,8,9,10,11,12,13,14,15,16,17,18,19,20,21,22,23,24,25,26,27,28,29,30,31,32,33,34,35,36,37,38,39,40}, {10,20,30,40,50,60,70,80,90,100,115,130,150,175,200,230,260,300,350,400,460,520,600,700,800,920,1040,1200,1400,1600,1840,2080,2400,2800,3200,3680,4160,4800,5600,6400})</f>
        <v>520</v>
      </c>
      <c r="I202" s="154"/>
      <c r="J202" s="154"/>
      <c r="K202" s="154">
        <f>SUM(L97:M107)+SUM(K186:K187)+SUM(K84:K87)+SUM(K91:K93)</f>
        <v>0</v>
      </c>
      <c r="L202" s="154"/>
      <c r="M202" s="188">
        <v>0</v>
      </c>
      <c r="N202" s="188"/>
      <c r="O202" s="188"/>
      <c r="P202" s="154">
        <f>IF(M202&gt;=30,M202-(IF(B202&gt;=K202,0,10)),M202-(IF(B202&gt;=K202,0,5)))-IF(SUM(P84:Q87)&gt;0,IF(M202&gt;=30,10,5))</f>
        <v>0</v>
      </c>
      <c r="Q202" s="154"/>
      <c r="R202" s="17">
        <f>IF(AND(K202&gt;B202,K202&lt;=E202),-3,IF(AND(K202&gt;E202,K202&lt;=H202),-6,0))</f>
        <v>0</v>
      </c>
      <c r="S202" s="1"/>
      <c r="T202" s="1"/>
      <c r="U202" s="1"/>
      <c r="V202" s="1"/>
      <c r="W202" s="1"/>
      <c r="X202" s="1"/>
      <c r="Y202" s="1"/>
      <c r="Z202" s="1"/>
      <c r="AA202" s="1"/>
    </row>
    <row r="203" spans="2:27"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2:27" s="5" customFormat="1" ht="28.5" x14ac:dyDescent="0.45">
      <c r="B204" s="23" t="s">
        <v>67</v>
      </c>
    </row>
    <row r="205" spans="2:27"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2:27" x14ac:dyDescent="0.25">
      <c r="B206" s="153" t="s">
        <v>269</v>
      </c>
      <c r="C206" s="153"/>
      <c r="D206" s="153"/>
      <c r="E206" s="153"/>
      <c r="F206" s="153"/>
      <c r="G206" s="153"/>
      <c r="H206" s="153"/>
      <c r="I206" s="153"/>
      <c r="J206" s="153"/>
      <c r="K206" s="153"/>
      <c r="L206" s="153"/>
      <c r="M206" s="153"/>
      <c r="N206" s="153"/>
      <c r="O206" s="153"/>
      <c r="P206" s="153"/>
      <c r="Q206" s="153"/>
      <c r="R206" s="1"/>
      <c r="S206" s="1"/>
      <c r="T206" s="1"/>
      <c r="U206" s="1"/>
      <c r="V206" s="1"/>
      <c r="W206" s="1"/>
      <c r="X206" s="1"/>
      <c r="Y206" s="1"/>
      <c r="Z206" s="1"/>
      <c r="AA206" s="1"/>
    </row>
    <row r="207" spans="2:27" x14ac:dyDescent="0.25">
      <c r="B207" s="12"/>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2:27" s="5" customFormat="1" ht="28.5" x14ac:dyDescent="0.45">
      <c r="B208" s="23" t="s">
        <v>69</v>
      </c>
    </row>
    <row r="209" spans="2:27" x14ac:dyDescent="0.25">
      <c r="B209" s="1"/>
      <c r="C209" s="1"/>
      <c r="D209" s="1"/>
      <c r="E209" s="1"/>
      <c r="F209" s="1"/>
      <c r="G209" s="1"/>
      <c r="H209" s="1"/>
      <c r="I209" s="1"/>
      <c r="J209" s="1"/>
      <c r="K209" s="1"/>
      <c r="L209" s="1"/>
      <c r="M209" s="1"/>
      <c r="N209" s="1"/>
      <c r="O209" s="1"/>
      <c r="P209" s="1"/>
      <c r="Q209" s="1"/>
      <c r="R209" s="1"/>
      <c r="S209" s="16" t="s">
        <v>192</v>
      </c>
      <c r="T209" s="16">
        <v>8</v>
      </c>
      <c r="U209" s="1"/>
      <c r="V209" s="1"/>
      <c r="W209" s="1"/>
      <c r="X209" s="1"/>
      <c r="Y209" s="1"/>
      <c r="Z209" s="1"/>
      <c r="AA209" s="1"/>
    </row>
    <row r="210" spans="2:27" s="7" customFormat="1" x14ac:dyDescent="0.25">
      <c r="B210" s="85" t="s">
        <v>74</v>
      </c>
      <c r="C210" s="85"/>
      <c r="D210" s="27">
        <f>(G210+J210)</f>
        <v>3</v>
      </c>
      <c r="E210" s="85" t="s">
        <v>70</v>
      </c>
      <c r="F210" s="85"/>
      <c r="G210" s="27">
        <f>IF(J66&gt;G218,G218,J66)</f>
        <v>3</v>
      </c>
      <c r="H210" s="85" t="s">
        <v>39</v>
      </c>
      <c r="I210" s="85"/>
      <c r="J210" s="27"/>
      <c r="S210" s="16" t="s">
        <v>193</v>
      </c>
      <c r="T210" s="16">
        <v>4</v>
      </c>
    </row>
    <row r="211" spans="2:27" s="7" customFormat="1" x14ac:dyDescent="0.25">
      <c r="S211" s="16" t="s">
        <v>194</v>
      </c>
      <c r="T211" s="16">
        <v>2</v>
      </c>
    </row>
    <row r="212" spans="2:27" s="7" customFormat="1" x14ac:dyDescent="0.25">
      <c r="B212" s="131" t="s">
        <v>75</v>
      </c>
      <c r="C212" s="133"/>
      <c r="D212" s="29">
        <f>(G212+J212+M212+P212)</f>
        <v>9</v>
      </c>
      <c r="E212" s="131" t="s">
        <v>71</v>
      </c>
      <c r="F212" s="133"/>
      <c r="G212" s="27">
        <f>ROUNDDOWN(SUMIF(F349:F369,"&gt;0",G349:G369),0)</f>
        <v>3</v>
      </c>
      <c r="H212" s="131" t="s">
        <v>72</v>
      </c>
      <c r="I212" s="133"/>
      <c r="J212" s="29">
        <f>J65</f>
        <v>6</v>
      </c>
      <c r="K212" s="131" t="s">
        <v>73</v>
      </c>
      <c r="L212" s="133"/>
      <c r="M212" s="29">
        <f>VLOOKUP(D41,SizeTable,2,FALSE)</f>
        <v>0</v>
      </c>
      <c r="N212" s="131" t="s">
        <v>39</v>
      </c>
      <c r="O212" s="133"/>
      <c r="P212" s="27"/>
      <c r="S212" s="16" t="s">
        <v>195</v>
      </c>
      <c r="T212" s="16">
        <v>1</v>
      </c>
    </row>
    <row r="213" spans="2:27" s="7" customFormat="1" x14ac:dyDescent="0.25">
      <c r="B213" s="131" t="s">
        <v>76</v>
      </c>
      <c r="C213" s="133"/>
      <c r="D213" s="29">
        <f>(G213+J213+M213+P213)</f>
        <v>6</v>
      </c>
      <c r="E213" s="131" t="s">
        <v>71</v>
      </c>
      <c r="F213" s="133"/>
      <c r="G213" s="29">
        <f>G212</f>
        <v>3</v>
      </c>
      <c r="H213" s="131" t="s">
        <v>36</v>
      </c>
      <c r="I213" s="133"/>
      <c r="J213" s="29">
        <f>IF(J66&gt;G218,G218,J66)</f>
        <v>3</v>
      </c>
      <c r="K213" s="131" t="s">
        <v>73</v>
      </c>
      <c r="L213" s="133"/>
      <c r="M213" s="29">
        <f>VLOOKUP(D41,SizeTable,2,FALSE)</f>
        <v>0</v>
      </c>
      <c r="N213" s="131" t="s">
        <v>39</v>
      </c>
      <c r="O213" s="133"/>
      <c r="P213" s="27"/>
      <c r="S213" s="16" t="s">
        <v>83</v>
      </c>
      <c r="T213" s="16">
        <v>0</v>
      </c>
    </row>
    <row r="214" spans="2:27" s="7" customFormat="1" x14ac:dyDescent="0.25">
      <c r="B214" s="131" t="s">
        <v>77</v>
      </c>
      <c r="C214" s="133"/>
      <c r="D214" s="29">
        <f>(G214+J214+M214+P214)</f>
        <v>9</v>
      </c>
      <c r="E214" s="131" t="s">
        <v>71</v>
      </c>
      <c r="F214" s="133"/>
      <c r="G214" s="29">
        <f>G213</f>
        <v>3</v>
      </c>
      <c r="H214" s="131" t="s">
        <v>72</v>
      </c>
      <c r="I214" s="133"/>
      <c r="J214" s="29">
        <f>J65</f>
        <v>6</v>
      </c>
      <c r="K214" s="131" t="s">
        <v>73</v>
      </c>
      <c r="L214" s="133"/>
      <c r="M214" s="29">
        <f>LOOKUP(VLOOKUP(D41,SizeTable,2,FALSE), {-8,-4,-2,-1,0,1,2,4,8},{16,12,8,4,0,-4,-8,-12,-16})</f>
        <v>0</v>
      </c>
      <c r="N214" s="131" t="s">
        <v>39</v>
      </c>
      <c r="O214" s="133"/>
      <c r="P214" s="27"/>
      <c r="S214" s="16" t="s">
        <v>196</v>
      </c>
      <c r="T214" s="16">
        <v>-1</v>
      </c>
    </row>
    <row r="215" spans="2:27" s="7" customFormat="1" x14ac:dyDescent="0.25">
      <c r="S215" s="16" t="s">
        <v>197</v>
      </c>
      <c r="T215" s="16">
        <v>-2</v>
      </c>
    </row>
    <row r="216" spans="2:27" s="7" customFormat="1" x14ac:dyDescent="0.25">
      <c r="B216" s="85" t="s">
        <v>10</v>
      </c>
      <c r="C216" s="85"/>
      <c r="D216" s="29">
        <f>(10+G216+J216+M216+P216+J217+M217+P217+M218)</f>
        <v>13</v>
      </c>
      <c r="E216" s="85" t="s">
        <v>78</v>
      </c>
      <c r="F216" s="85"/>
      <c r="G216" s="29">
        <f>SUM(L84:L87)</f>
        <v>0</v>
      </c>
      <c r="H216" s="85" t="s">
        <v>36</v>
      </c>
      <c r="I216" s="85"/>
      <c r="J216" s="29">
        <f>IF(J66&gt;G218,G218,J66)</f>
        <v>3</v>
      </c>
      <c r="K216" s="85" t="s">
        <v>73</v>
      </c>
      <c r="L216" s="85"/>
      <c r="M216" s="29">
        <f>VLOOKUP(D41,SizeTable,2,FALSE)</f>
        <v>0</v>
      </c>
      <c r="N216" s="85" t="s">
        <v>79</v>
      </c>
      <c r="O216" s="85"/>
      <c r="P216" s="27">
        <f>SUM(L91:L93)</f>
        <v>0</v>
      </c>
      <c r="S216" s="16" t="s">
        <v>198</v>
      </c>
      <c r="T216" s="16">
        <v>-4</v>
      </c>
    </row>
    <row r="217" spans="2:27" s="7" customFormat="1" x14ac:dyDescent="0.25">
      <c r="B217" s="131" t="s">
        <v>82</v>
      </c>
      <c r="C217" s="133"/>
      <c r="D217" s="29">
        <f>(10+J216+M216+J217+P217+M218)</f>
        <v>13</v>
      </c>
      <c r="E217" s="94" t="s">
        <v>177</v>
      </c>
      <c r="F217" s="96"/>
      <c r="G217" s="29">
        <f>(10+G216+M216+P216+J217+M217+P217)</f>
        <v>10</v>
      </c>
      <c r="H217" s="149" t="s">
        <v>81</v>
      </c>
      <c r="I217" s="150"/>
      <c r="J217" s="27"/>
      <c r="K217" s="85" t="s">
        <v>80</v>
      </c>
      <c r="L217" s="85"/>
      <c r="M217" s="27"/>
      <c r="N217" s="85" t="s">
        <v>39</v>
      </c>
      <c r="O217" s="85"/>
      <c r="P217" s="27"/>
      <c r="S217" s="16" t="s">
        <v>199</v>
      </c>
      <c r="T217" s="16">
        <v>-8</v>
      </c>
    </row>
    <row r="218" spans="2:27" s="7" customFormat="1" x14ac:dyDescent="0.25">
      <c r="B218" s="189" t="s">
        <v>14</v>
      </c>
      <c r="C218" s="189"/>
      <c r="D218" s="45">
        <f>IF((SUM(N84:N87)+SUM(N91:N93))&gt;R200,R200,(SUM(N84:N87)+SUM(N91:N93)))</f>
        <v>0</v>
      </c>
      <c r="E218" s="131" t="s">
        <v>15</v>
      </c>
      <c r="F218" s="133"/>
      <c r="G218" s="29" t="str">
        <f>IF(AND(M84="",M85="",M86="",M87="",M91="",M92="",M93=""),"-",SMALL((M84:M87,M91:M93),1))</f>
        <v>-</v>
      </c>
      <c r="H218" s="149" t="s">
        <v>16</v>
      </c>
      <c r="I218" s="150"/>
      <c r="J218" s="30">
        <f>SUM(O84:O87)+SUM(O91:O93)</f>
        <v>0</v>
      </c>
      <c r="K218" s="131" t="s">
        <v>84</v>
      </c>
      <c r="L218" s="133"/>
      <c r="M218" s="27"/>
      <c r="N218" s="105"/>
      <c r="O218" s="106"/>
      <c r="P218" s="107"/>
    </row>
    <row r="219" spans="2:27" s="7" customFormat="1" x14ac:dyDescent="0.25">
      <c r="B219" s="105" t="s">
        <v>243</v>
      </c>
      <c r="C219" s="107"/>
      <c r="D219" s="182"/>
      <c r="E219" s="183"/>
      <c r="F219" s="183"/>
      <c r="G219" s="183"/>
      <c r="H219" s="183"/>
      <c r="I219" s="183"/>
      <c r="J219" s="183"/>
      <c r="K219" s="183"/>
      <c r="L219" s="183"/>
      <c r="M219" s="183"/>
      <c r="N219" s="183"/>
      <c r="O219" s="183"/>
      <c r="P219" s="184"/>
    </row>
    <row r="220" spans="2:27" s="7" customFormat="1" x14ac:dyDescent="0.25"/>
    <row r="221" spans="2:27" s="7" customFormat="1" x14ac:dyDescent="0.25">
      <c r="B221" s="85" t="s">
        <v>85</v>
      </c>
      <c r="C221" s="85"/>
      <c r="D221" s="97"/>
      <c r="E221" s="148"/>
      <c r="F221" s="98"/>
      <c r="G221" s="85" t="s">
        <v>86</v>
      </c>
      <c r="H221" s="85"/>
      <c r="I221" s="27"/>
      <c r="J221" s="44" t="s">
        <v>87</v>
      </c>
      <c r="K221" s="27"/>
      <c r="L221" s="44" t="s">
        <v>88</v>
      </c>
      <c r="M221" s="27"/>
    </row>
    <row r="222" spans="2:27" s="7" customFormat="1" x14ac:dyDescent="0.25">
      <c r="B222" s="85" t="s">
        <v>90</v>
      </c>
      <c r="C222" s="85"/>
      <c r="D222" s="97"/>
      <c r="E222" s="148"/>
      <c r="F222" s="98"/>
      <c r="G222" s="85" t="s">
        <v>86</v>
      </c>
      <c r="H222" s="85"/>
      <c r="I222" s="27"/>
      <c r="J222" s="44" t="s">
        <v>87</v>
      </c>
      <c r="K222" s="27"/>
      <c r="L222" s="44" t="s">
        <v>88</v>
      </c>
      <c r="M222" s="27"/>
      <c r="N222" s="85" t="s">
        <v>89</v>
      </c>
      <c r="O222" s="85"/>
      <c r="P222" s="27"/>
    </row>
    <row r="223" spans="2:27" s="7" customFormat="1" x14ac:dyDescent="0.25"/>
    <row r="224" spans="2:27" s="11" customFormat="1" ht="28.5" x14ac:dyDescent="0.45">
      <c r="B224" s="23" t="s">
        <v>91</v>
      </c>
    </row>
    <row r="225" spans="2:19" s="7" customFormat="1" x14ac:dyDescent="0.25"/>
    <row r="226" spans="2:19" s="7" customFormat="1" x14ac:dyDescent="0.25">
      <c r="B226" s="7" t="s">
        <v>92</v>
      </c>
    </row>
    <row r="227" spans="2:19" s="7" customFormat="1" ht="15" customHeight="1" x14ac:dyDescent="0.25">
      <c r="B227" s="139" t="s">
        <v>22</v>
      </c>
      <c r="C227" s="140"/>
      <c r="D227" s="140"/>
      <c r="E227" s="141"/>
      <c r="F227" s="139" t="s">
        <v>93</v>
      </c>
      <c r="G227" s="140"/>
      <c r="H227" s="140"/>
      <c r="I227" s="140"/>
      <c r="J227" s="140"/>
      <c r="K227" s="140"/>
      <c r="L227" s="140"/>
      <c r="M227" s="140"/>
      <c r="N227" s="140"/>
      <c r="O227" s="140"/>
      <c r="P227" s="141"/>
      <c r="Q227" s="139" t="s">
        <v>42</v>
      </c>
      <c r="R227" s="140"/>
      <c r="S227" s="141"/>
    </row>
    <row r="228" spans="2:19" s="7" customFormat="1" x14ac:dyDescent="0.25">
      <c r="B228" s="90" t="s">
        <v>814</v>
      </c>
      <c r="C228" s="91"/>
      <c r="D228" s="91"/>
      <c r="E228" s="92"/>
      <c r="F228" s="90" t="s">
        <v>815</v>
      </c>
      <c r="G228" s="91"/>
      <c r="H228" s="91"/>
      <c r="I228" s="91"/>
      <c r="J228" s="91"/>
      <c r="K228" s="91"/>
      <c r="L228" s="91"/>
      <c r="M228" s="91"/>
      <c r="N228" s="91"/>
      <c r="O228" s="91"/>
      <c r="P228" s="92"/>
      <c r="Q228" s="90" t="s">
        <v>816</v>
      </c>
      <c r="R228" s="91"/>
      <c r="S228" s="92"/>
    </row>
    <row r="229" spans="2:19" s="7" customFormat="1" x14ac:dyDescent="0.25">
      <c r="B229" s="90" t="s">
        <v>817</v>
      </c>
      <c r="C229" s="91"/>
      <c r="D229" s="91"/>
      <c r="E229" s="92"/>
      <c r="F229" s="99" t="s">
        <v>818</v>
      </c>
      <c r="G229" s="91"/>
      <c r="H229" s="91"/>
      <c r="I229" s="91"/>
      <c r="J229" s="91"/>
      <c r="K229" s="91"/>
      <c r="L229" s="91"/>
      <c r="M229" s="91"/>
      <c r="N229" s="91"/>
      <c r="O229" s="91"/>
      <c r="P229" s="92"/>
      <c r="Q229" s="90" t="s">
        <v>816</v>
      </c>
      <c r="R229" s="91"/>
      <c r="S229" s="92"/>
    </row>
    <row r="230" spans="2:19" s="7" customFormat="1" x14ac:dyDescent="0.25">
      <c r="B230" s="90" t="s">
        <v>819</v>
      </c>
      <c r="C230" s="91"/>
      <c r="D230" s="91"/>
      <c r="E230" s="92"/>
      <c r="F230" s="90" t="s">
        <v>820</v>
      </c>
      <c r="G230" s="91"/>
      <c r="H230" s="91"/>
      <c r="I230" s="91"/>
      <c r="J230" s="91"/>
      <c r="K230" s="91"/>
      <c r="L230" s="91"/>
      <c r="M230" s="91"/>
      <c r="N230" s="91"/>
      <c r="O230" s="91"/>
      <c r="P230" s="92"/>
      <c r="Q230" s="90" t="s">
        <v>821</v>
      </c>
      <c r="R230" s="91"/>
      <c r="S230" s="92"/>
    </row>
    <row r="231" spans="2:19" s="7" customFormat="1" x14ac:dyDescent="0.25">
      <c r="B231" s="90" t="s">
        <v>822</v>
      </c>
      <c r="C231" s="91"/>
      <c r="D231" s="91"/>
      <c r="E231" s="92"/>
      <c r="F231" s="90" t="s">
        <v>823</v>
      </c>
      <c r="G231" s="91"/>
      <c r="H231" s="91"/>
      <c r="I231" s="91"/>
      <c r="J231" s="91"/>
      <c r="K231" s="91"/>
      <c r="L231" s="91"/>
      <c r="M231" s="91"/>
      <c r="N231" s="91"/>
      <c r="O231" s="91"/>
      <c r="P231" s="92"/>
      <c r="Q231" s="90" t="s">
        <v>821</v>
      </c>
      <c r="R231" s="91"/>
      <c r="S231" s="92"/>
    </row>
    <row r="232" spans="2:19" s="7" customFormat="1" x14ac:dyDescent="0.25">
      <c r="B232" s="90" t="s">
        <v>824</v>
      </c>
      <c r="C232" s="91"/>
      <c r="D232" s="91"/>
      <c r="E232" s="92"/>
      <c r="F232" s="90" t="s">
        <v>825</v>
      </c>
      <c r="G232" s="91"/>
      <c r="H232" s="91"/>
      <c r="I232" s="91"/>
      <c r="J232" s="91"/>
      <c r="K232" s="91"/>
      <c r="L232" s="91"/>
      <c r="M232" s="91"/>
      <c r="N232" s="91"/>
      <c r="O232" s="91"/>
      <c r="P232" s="92"/>
      <c r="Q232" s="90" t="s">
        <v>821</v>
      </c>
      <c r="R232" s="91"/>
      <c r="S232" s="92"/>
    </row>
    <row r="233" spans="2:19" s="7" customFormat="1" x14ac:dyDescent="0.25">
      <c r="B233" s="90" t="s">
        <v>826</v>
      </c>
      <c r="C233" s="91"/>
      <c r="D233" s="91"/>
      <c r="E233" s="92"/>
      <c r="F233" s="90" t="s">
        <v>827</v>
      </c>
      <c r="G233" s="91"/>
      <c r="H233" s="91"/>
      <c r="I233" s="91"/>
      <c r="J233" s="91"/>
      <c r="K233" s="91"/>
      <c r="L233" s="91"/>
      <c r="M233" s="91"/>
      <c r="N233" s="91"/>
      <c r="O233" s="91"/>
      <c r="P233" s="92"/>
      <c r="Q233" s="90" t="s">
        <v>821</v>
      </c>
      <c r="R233" s="91"/>
      <c r="S233" s="92"/>
    </row>
    <row r="234" spans="2:19" s="7" customFormat="1" ht="15" customHeight="1" x14ac:dyDescent="0.25">
      <c r="B234" s="90" t="s">
        <v>803</v>
      </c>
      <c r="C234" s="91"/>
      <c r="D234" s="91"/>
      <c r="E234" s="92"/>
      <c r="F234" s="90" t="s">
        <v>804</v>
      </c>
      <c r="G234" s="91"/>
      <c r="H234" s="91"/>
      <c r="I234" s="91"/>
      <c r="J234" s="91"/>
      <c r="K234" s="91"/>
      <c r="L234" s="91"/>
      <c r="M234" s="91"/>
      <c r="N234" s="91"/>
      <c r="O234" s="91"/>
      <c r="P234" s="92"/>
      <c r="Q234" s="90" t="s">
        <v>805</v>
      </c>
      <c r="R234" s="91"/>
      <c r="S234" s="92"/>
    </row>
    <row r="235" spans="2:19" s="7" customFormat="1" x14ac:dyDescent="0.25">
      <c r="B235" s="90" t="s">
        <v>806</v>
      </c>
      <c r="C235" s="91"/>
      <c r="D235" s="91"/>
      <c r="E235" s="92"/>
      <c r="F235" s="90" t="s">
        <v>807</v>
      </c>
      <c r="G235" s="91"/>
      <c r="H235" s="91"/>
      <c r="I235" s="91"/>
      <c r="J235" s="91"/>
      <c r="K235" s="91"/>
      <c r="L235" s="91"/>
      <c r="M235" s="91"/>
      <c r="N235" s="91"/>
      <c r="O235" s="91"/>
      <c r="P235" s="92"/>
      <c r="Q235" s="90" t="s">
        <v>805</v>
      </c>
      <c r="R235" s="91"/>
      <c r="S235" s="92"/>
    </row>
    <row r="236" spans="2:19" s="7" customFormat="1" x14ac:dyDescent="0.25">
      <c r="B236" s="90" t="s">
        <v>808</v>
      </c>
      <c r="C236" s="91"/>
      <c r="D236" s="91"/>
      <c r="E236" s="92"/>
      <c r="F236" s="90" t="s">
        <v>809</v>
      </c>
      <c r="G236" s="91"/>
      <c r="H236" s="91"/>
      <c r="I236" s="91"/>
      <c r="J236" s="91"/>
      <c r="K236" s="91"/>
      <c r="L236" s="91"/>
      <c r="M236" s="91"/>
      <c r="N236" s="91"/>
      <c r="O236" s="91"/>
      <c r="P236" s="92"/>
      <c r="Q236" s="192" t="s">
        <v>810</v>
      </c>
      <c r="R236" s="193"/>
      <c r="S236" s="194"/>
    </row>
    <row r="237" spans="2:19" s="7" customFormat="1" x14ac:dyDescent="0.25">
      <c r="B237" s="90" t="s">
        <v>811</v>
      </c>
      <c r="C237" s="91"/>
      <c r="D237" s="91"/>
      <c r="E237" s="92"/>
      <c r="F237" s="90" t="s">
        <v>812</v>
      </c>
      <c r="G237" s="91"/>
      <c r="H237" s="91"/>
      <c r="I237" s="91"/>
      <c r="J237" s="91"/>
      <c r="K237" s="91"/>
      <c r="L237" s="91"/>
      <c r="M237" s="91"/>
      <c r="N237" s="91"/>
      <c r="O237" s="91"/>
      <c r="P237" s="92"/>
      <c r="Q237" s="90"/>
      <c r="R237" s="91"/>
      <c r="S237" s="92"/>
    </row>
    <row r="238" spans="2:19" s="7" customFormat="1" x14ac:dyDescent="0.25">
      <c r="B238" s="90" t="s">
        <v>813</v>
      </c>
      <c r="C238" s="91"/>
      <c r="D238" s="91"/>
      <c r="E238" s="92"/>
      <c r="F238" s="90" t="s">
        <v>807</v>
      </c>
      <c r="G238" s="91"/>
      <c r="H238" s="91"/>
      <c r="I238" s="91"/>
      <c r="J238" s="91"/>
      <c r="K238" s="91"/>
      <c r="L238" s="91"/>
      <c r="M238" s="91"/>
      <c r="N238" s="91"/>
      <c r="O238" s="91"/>
      <c r="P238" s="92"/>
      <c r="Q238" s="90"/>
      <c r="R238" s="91"/>
      <c r="S238" s="92"/>
    </row>
    <row r="239" spans="2:19" s="7" customFormat="1" x14ac:dyDescent="0.25">
      <c r="B239" s="90"/>
      <c r="C239" s="91"/>
      <c r="D239" s="91"/>
      <c r="E239" s="92"/>
      <c r="F239" s="90"/>
      <c r="G239" s="91"/>
      <c r="H239" s="91"/>
      <c r="I239" s="91"/>
      <c r="J239" s="91"/>
      <c r="K239" s="91"/>
      <c r="L239" s="91"/>
      <c r="M239" s="91"/>
      <c r="N239" s="91"/>
      <c r="O239" s="91"/>
      <c r="P239" s="92"/>
      <c r="Q239" s="90"/>
      <c r="R239" s="91"/>
      <c r="S239" s="92"/>
    </row>
    <row r="240" spans="2:19" s="7" customFormat="1" x14ac:dyDescent="0.25">
      <c r="B240" s="90"/>
      <c r="C240" s="91"/>
      <c r="D240" s="91"/>
      <c r="E240" s="92"/>
      <c r="F240" s="99"/>
      <c r="G240" s="91"/>
      <c r="H240" s="91"/>
      <c r="I240" s="91"/>
      <c r="J240" s="91"/>
      <c r="K240" s="91"/>
      <c r="L240" s="91"/>
      <c r="M240" s="91"/>
      <c r="N240" s="91"/>
      <c r="O240" s="91"/>
      <c r="P240" s="92"/>
      <c r="Q240" s="90"/>
      <c r="R240" s="91"/>
      <c r="S240" s="92"/>
    </row>
    <row r="241" spans="2:19" s="7" customFormat="1" x14ac:dyDescent="0.25"/>
    <row r="242" spans="2:19" s="7" customFormat="1" x14ac:dyDescent="0.25">
      <c r="B242" s="7" t="s">
        <v>94</v>
      </c>
    </row>
    <row r="243" spans="2:19" s="7" customFormat="1" ht="15" customHeight="1" x14ac:dyDescent="0.25">
      <c r="B243" s="139" t="s">
        <v>22</v>
      </c>
      <c r="C243" s="140"/>
      <c r="D243" s="140"/>
      <c r="E243" s="141"/>
      <c r="F243" s="139" t="s">
        <v>93</v>
      </c>
      <c r="G243" s="140"/>
      <c r="H243" s="140"/>
      <c r="I243" s="140"/>
      <c r="J243" s="140"/>
      <c r="K243" s="140"/>
      <c r="L243" s="140"/>
      <c r="M243" s="140"/>
      <c r="N243" s="140"/>
      <c r="O243" s="140"/>
      <c r="P243" s="141"/>
      <c r="Q243" s="139" t="s">
        <v>42</v>
      </c>
      <c r="R243" s="140"/>
      <c r="S243" s="141"/>
    </row>
    <row r="244" spans="2:19" s="7" customFormat="1" x14ac:dyDescent="0.25">
      <c r="B244" s="90" t="s">
        <v>831</v>
      </c>
      <c r="C244" s="91"/>
      <c r="D244" s="91"/>
      <c r="E244" s="92"/>
      <c r="F244" s="90" t="s">
        <v>832</v>
      </c>
      <c r="G244" s="91"/>
      <c r="H244" s="91"/>
      <c r="I244" s="91"/>
      <c r="J244" s="91"/>
      <c r="K244" s="91"/>
      <c r="L244" s="91"/>
      <c r="M244" s="91"/>
      <c r="N244" s="91"/>
      <c r="O244" s="91"/>
      <c r="P244" s="92"/>
      <c r="Q244" s="90"/>
      <c r="R244" s="91"/>
      <c r="S244" s="92"/>
    </row>
    <row r="245" spans="2:19" s="7" customFormat="1" x14ac:dyDescent="0.25">
      <c r="B245" s="90"/>
      <c r="C245" s="91"/>
      <c r="D245" s="91"/>
      <c r="E245" s="92"/>
      <c r="F245" s="90"/>
      <c r="G245" s="91"/>
      <c r="H245" s="91"/>
      <c r="I245" s="91"/>
      <c r="J245" s="91"/>
      <c r="K245" s="91"/>
      <c r="L245" s="91"/>
      <c r="M245" s="91"/>
      <c r="N245" s="91"/>
      <c r="O245" s="91"/>
      <c r="P245" s="92"/>
      <c r="Q245" s="90"/>
      <c r="R245" s="91"/>
      <c r="S245" s="92"/>
    </row>
    <row r="246" spans="2:19" s="7" customFormat="1" x14ac:dyDescent="0.25">
      <c r="B246" s="90"/>
      <c r="C246" s="91"/>
      <c r="D246" s="91"/>
      <c r="E246" s="92"/>
      <c r="F246" s="90"/>
      <c r="G246" s="91"/>
      <c r="H246" s="91"/>
      <c r="I246" s="91"/>
      <c r="J246" s="91"/>
      <c r="K246" s="91"/>
      <c r="L246" s="91"/>
      <c r="M246" s="91"/>
      <c r="N246" s="91"/>
      <c r="O246" s="91"/>
      <c r="P246" s="92"/>
      <c r="Q246" s="90"/>
      <c r="R246" s="91"/>
      <c r="S246" s="92"/>
    </row>
    <row r="247" spans="2:19" s="7" customFormat="1" x14ac:dyDescent="0.25">
      <c r="B247" s="90"/>
      <c r="C247" s="91"/>
      <c r="D247" s="91"/>
      <c r="E247" s="92"/>
      <c r="F247" s="90"/>
      <c r="G247" s="91"/>
      <c r="H247" s="91"/>
      <c r="I247" s="91"/>
      <c r="J247" s="91"/>
      <c r="K247" s="91"/>
      <c r="L247" s="91"/>
      <c r="M247" s="91"/>
      <c r="N247" s="91"/>
      <c r="O247" s="91"/>
      <c r="P247" s="92"/>
      <c r="Q247" s="90"/>
      <c r="R247" s="91"/>
      <c r="S247" s="92"/>
    </row>
    <row r="248" spans="2:19" s="7" customFormat="1" x14ac:dyDescent="0.25">
      <c r="B248" s="90"/>
      <c r="C248" s="91"/>
      <c r="D248" s="91"/>
      <c r="E248" s="92"/>
      <c r="F248" s="90"/>
      <c r="G248" s="91"/>
      <c r="H248" s="91"/>
      <c r="I248" s="91"/>
      <c r="J248" s="91"/>
      <c r="K248" s="91"/>
      <c r="L248" s="91"/>
      <c r="M248" s="91"/>
      <c r="N248" s="91"/>
      <c r="O248" s="91"/>
      <c r="P248" s="92"/>
      <c r="Q248" s="90"/>
      <c r="R248" s="91"/>
      <c r="S248" s="92"/>
    </row>
    <row r="249" spans="2:19" s="7" customFormat="1" x14ac:dyDescent="0.25">
      <c r="B249" s="90"/>
      <c r="C249" s="91"/>
      <c r="D249" s="91"/>
      <c r="E249" s="92"/>
      <c r="F249" s="90"/>
      <c r="G249" s="91"/>
      <c r="H249" s="91"/>
      <c r="I249" s="91"/>
      <c r="J249" s="91"/>
      <c r="K249" s="91"/>
      <c r="L249" s="91"/>
      <c r="M249" s="91"/>
      <c r="N249" s="91"/>
      <c r="O249" s="91"/>
      <c r="P249" s="92"/>
      <c r="Q249" s="90"/>
      <c r="R249" s="91"/>
      <c r="S249" s="92"/>
    </row>
    <row r="250" spans="2:19" s="7" customFormat="1" x14ac:dyDescent="0.25">
      <c r="B250" s="90"/>
      <c r="C250" s="91"/>
      <c r="D250" s="91"/>
      <c r="E250" s="92"/>
      <c r="F250" s="90"/>
      <c r="G250" s="91"/>
      <c r="H250" s="91"/>
      <c r="I250" s="91"/>
      <c r="J250" s="91"/>
      <c r="K250" s="91"/>
      <c r="L250" s="91"/>
      <c r="M250" s="91"/>
      <c r="N250" s="91"/>
      <c r="O250" s="91"/>
      <c r="P250" s="92"/>
      <c r="Q250" s="90"/>
      <c r="R250" s="91"/>
      <c r="S250" s="92"/>
    </row>
    <row r="251" spans="2:19" s="7" customFormat="1" x14ac:dyDescent="0.25">
      <c r="B251" s="90"/>
      <c r="C251" s="91"/>
      <c r="D251" s="91"/>
      <c r="E251" s="92"/>
      <c r="F251" s="90"/>
      <c r="G251" s="91"/>
      <c r="H251" s="91"/>
      <c r="I251" s="91"/>
      <c r="J251" s="91"/>
      <c r="K251" s="91"/>
      <c r="L251" s="91"/>
      <c r="M251" s="91"/>
      <c r="N251" s="91"/>
      <c r="O251" s="91"/>
      <c r="P251" s="92"/>
      <c r="Q251" s="90"/>
      <c r="R251" s="91"/>
      <c r="S251" s="92"/>
    </row>
    <row r="252" spans="2:19" s="7" customFormat="1" x14ac:dyDescent="0.25">
      <c r="B252" s="90"/>
      <c r="C252" s="91"/>
      <c r="D252" s="91"/>
      <c r="E252" s="92"/>
      <c r="F252" s="90"/>
      <c r="G252" s="91"/>
      <c r="H252" s="91"/>
      <c r="I252" s="91"/>
      <c r="J252" s="91"/>
      <c r="K252" s="91"/>
      <c r="L252" s="91"/>
      <c r="M252" s="91"/>
      <c r="N252" s="91"/>
      <c r="O252" s="91"/>
      <c r="P252" s="92"/>
      <c r="Q252" s="90"/>
      <c r="R252" s="91"/>
      <c r="S252" s="92"/>
    </row>
    <row r="253" spans="2:19" s="7" customFormat="1" x14ac:dyDescent="0.25">
      <c r="B253" s="90"/>
      <c r="C253" s="91"/>
      <c r="D253" s="91"/>
      <c r="E253" s="92"/>
      <c r="F253" s="99"/>
      <c r="G253" s="91"/>
      <c r="H253" s="91"/>
      <c r="I253" s="91"/>
      <c r="J253" s="91"/>
      <c r="K253" s="91"/>
      <c r="L253" s="91"/>
      <c r="M253" s="91"/>
      <c r="N253" s="91"/>
      <c r="O253" s="91"/>
      <c r="P253" s="92"/>
      <c r="Q253" s="90"/>
      <c r="R253" s="91"/>
      <c r="S253" s="92"/>
    </row>
    <row r="254" spans="2:19" s="7" customFormat="1" x14ac:dyDescent="0.25"/>
    <row r="255" spans="2:19" s="7" customFormat="1" ht="15" customHeight="1" x14ac:dyDescent="0.25">
      <c r="B255" s="7" t="s">
        <v>95</v>
      </c>
    </row>
    <row r="256" spans="2:19" s="7" customFormat="1" ht="15" customHeight="1" x14ac:dyDescent="0.25">
      <c r="B256" s="139" t="s">
        <v>22</v>
      </c>
      <c r="C256" s="140"/>
      <c r="D256" s="140"/>
      <c r="E256" s="141"/>
      <c r="F256" s="139" t="s">
        <v>93</v>
      </c>
      <c r="G256" s="140"/>
      <c r="H256" s="140"/>
      <c r="I256" s="140"/>
      <c r="J256" s="140"/>
      <c r="K256" s="140"/>
      <c r="L256" s="140"/>
      <c r="M256" s="140"/>
      <c r="N256" s="140"/>
      <c r="O256" s="140"/>
      <c r="P256" s="141"/>
      <c r="Q256" s="139" t="s">
        <v>42</v>
      </c>
      <c r="R256" s="140"/>
      <c r="S256" s="141"/>
    </row>
    <row r="257" spans="2:19" s="7" customFormat="1" ht="15" customHeight="1" x14ac:dyDescent="0.25">
      <c r="B257" s="195" t="s">
        <v>829</v>
      </c>
      <c r="C257" s="196"/>
      <c r="D257" s="196"/>
      <c r="E257" s="197"/>
      <c r="F257" s="198" t="s">
        <v>830</v>
      </c>
      <c r="G257" s="196"/>
      <c r="H257" s="196"/>
      <c r="I257" s="196"/>
      <c r="J257" s="196"/>
      <c r="K257" s="196"/>
      <c r="L257" s="196"/>
      <c r="M257" s="196"/>
      <c r="N257" s="196"/>
      <c r="O257" s="196"/>
      <c r="P257" s="197"/>
      <c r="Q257" s="90"/>
      <c r="R257" s="91"/>
      <c r="S257" s="92"/>
    </row>
    <row r="258" spans="2:19" s="7" customFormat="1" x14ac:dyDescent="0.25">
      <c r="B258" s="90"/>
      <c r="C258" s="91"/>
      <c r="D258" s="91"/>
      <c r="E258" s="92"/>
      <c r="F258" s="90"/>
      <c r="G258" s="91"/>
      <c r="H258" s="91"/>
      <c r="I258" s="91"/>
      <c r="J258" s="91"/>
      <c r="K258" s="91"/>
      <c r="L258" s="91"/>
      <c r="M258" s="91"/>
      <c r="N258" s="91"/>
      <c r="O258" s="91"/>
      <c r="P258" s="92"/>
      <c r="Q258" s="90"/>
      <c r="R258" s="91"/>
      <c r="S258" s="92"/>
    </row>
    <row r="259" spans="2:19" s="7" customFormat="1" x14ac:dyDescent="0.25">
      <c r="B259" s="90"/>
      <c r="C259" s="91"/>
      <c r="D259" s="91"/>
      <c r="E259" s="92"/>
      <c r="F259" s="90"/>
      <c r="G259" s="91"/>
      <c r="H259" s="91"/>
      <c r="I259" s="91"/>
      <c r="J259" s="91"/>
      <c r="K259" s="91"/>
      <c r="L259" s="91"/>
      <c r="M259" s="91"/>
      <c r="N259" s="91"/>
      <c r="O259" s="91"/>
      <c r="P259" s="92"/>
      <c r="Q259" s="90"/>
      <c r="R259" s="91"/>
      <c r="S259" s="92"/>
    </row>
    <row r="260" spans="2:19" s="7" customFormat="1" x14ac:dyDescent="0.25"/>
    <row r="261" spans="2:19" s="11" customFormat="1" ht="28.5" x14ac:dyDescent="0.45">
      <c r="B261" s="23" t="s">
        <v>96</v>
      </c>
    </row>
    <row r="262" spans="2:19" s="7" customFormat="1" x14ac:dyDescent="0.25"/>
    <row r="263" spans="2:19" s="7" customFormat="1" x14ac:dyDescent="0.25">
      <c r="B263" s="7" t="s">
        <v>97</v>
      </c>
    </row>
    <row r="264" spans="2:19" s="7" customFormat="1" ht="15" customHeight="1" x14ac:dyDescent="0.25">
      <c r="B264" s="139" t="s">
        <v>98</v>
      </c>
      <c r="C264" s="140"/>
      <c r="D264" s="140"/>
      <c r="E264" s="141"/>
      <c r="F264" s="139" t="s">
        <v>93</v>
      </c>
      <c r="G264" s="140"/>
      <c r="H264" s="140"/>
      <c r="I264" s="140"/>
      <c r="J264" s="140"/>
      <c r="K264" s="140"/>
      <c r="L264" s="140"/>
      <c r="M264" s="140"/>
      <c r="N264" s="140"/>
      <c r="O264" s="140"/>
      <c r="P264" s="141"/>
      <c r="Q264" s="139" t="s">
        <v>42</v>
      </c>
      <c r="R264" s="140"/>
      <c r="S264" s="141"/>
    </row>
    <row r="265" spans="2:19" s="7" customFormat="1" x14ac:dyDescent="0.25">
      <c r="B265" s="90"/>
      <c r="C265" s="91"/>
      <c r="D265" s="91"/>
      <c r="E265" s="92"/>
      <c r="F265" s="99"/>
      <c r="G265" s="91"/>
      <c r="H265" s="91"/>
      <c r="I265" s="91"/>
      <c r="J265" s="91"/>
      <c r="K265" s="91"/>
      <c r="L265" s="91"/>
      <c r="M265" s="91"/>
      <c r="N265" s="91"/>
      <c r="O265" s="91"/>
      <c r="P265" s="92"/>
      <c r="Q265" s="90"/>
      <c r="R265" s="91"/>
      <c r="S265" s="92"/>
    </row>
    <row r="266" spans="2:19" s="7" customFormat="1" x14ac:dyDescent="0.25">
      <c r="B266" s="90"/>
      <c r="C266" s="91"/>
      <c r="D266" s="91"/>
      <c r="E266" s="92"/>
      <c r="F266" s="99"/>
      <c r="G266" s="91"/>
      <c r="H266" s="91"/>
      <c r="I266" s="91"/>
      <c r="J266" s="91"/>
      <c r="K266" s="91"/>
      <c r="L266" s="91"/>
      <c r="M266" s="91"/>
      <c r="N266" s="91"/>
      <c r="O266" s="91"/>
      <c r="P266" s="92"/>
      <c r="Q266" s="90"/>
      <c r="R266" s="91"/>
      <c r="S266" s="92"/>
    </row>
    <row r="267" spans="2:19" s="7" customFormat="1" x14ac:dyDescent="0.25">
      <c r="B267" s="90"/>
      <c r="C267" s="91"/>
      <c r="D267" s="91"/>
      <c r="E267" s="92"/>
      <c r="F267" s="90"/>
      <c r="G267" s="91"/>
      <c r="H267" s="91"/>
      <c r="I267" s="91"/>
      <c r="J267" s="91"/>
      <c r="K267" s="91"/>
      <c r="L267" s="91"/>
      <c r="M267" s="91"/>
      <c r="N267" s="91"/>
      <c r="O267" s="91"/>
      <c r="P267" s="92"/>
      <c r="Q267" s="90"/>
      <c r="R267" s="91"/>
      <c r="S267" s="92"/>
    </row>
    <row r="268" spans="2:19" s="7" customFormat="1" x14ac:dyDescent="0.25">
      <c r="B268" s="90"/>
      <c r="C268" s="91"/>
      <c r="D268" s="91"/>
      <c r="E268" s="92"/>
      <c r="F268" s="90"/>
      <c r="G268" s="91"/>
      <c r="H268" s="91"/>
      <c r="I268" s="91"/>
      <c r="J268" s="91"/>
      <c r="K268" s="91"/>
      <c r="L268" s="91"/>
      <c r="M268" s="91"/>
      <c r="N268" s="91"/>
      <c r="O268" s="91"/>
      <c r="P268" s="92"/>
      <c r="Q268" s="90"/>
      <c r="R268" s="91"/>
      <c r="S268" s="92"/>
    </row>
    <row r="269" spans="2:19" s="7" customFormat="1" x14ac:dyDescent="0.25"/>
    <row r="270" spans="2:19" s="7" customFormat="1" x14ac:dyDescent="0.25">
      <c r="B270" s="7" t="s">
        <v>99</v>
      </c>
    </row>
    <row r="271" spans="2:19" s="7" customFormat="1" ht="15" customHeight="1" x14ac:dyDescent="0.25">
      <c r="B271" s="139" t="s">
        <v>100</v>
      </c>
      <c r="C271" s="140"/>
      <c r="D271" s="140"/>
      <c r="E271" s="141"/>
      <c r="F271" s="139" t="s">
        <v>93</v>
      </c>
      <c r="G271" s="140"/>
      <c r="H271" s="140"/>
      <c r="I271" s="140"/>
      <c r="J271" s="140"/>
      <c r="K271" s="140"/>
      <c r="L271" s="140"/>
      <c r="M271" s="140"/>
      <c r="N271" s="140"/>
      <c r="O271" s="140"/>
      <c r="P271" s="141"/>
      <c r="Q271" s="139" t="s">
        <v>42</v>
      </c>
      <c r="R271" s="140"/>
      <c r="S271" s="141"/>
    </row>
    <row r="272" spans="2:19" s="7" customFormat="1" x14ac:dyDescent="0.25">
      <c r="B272" s="90"/>
      <c r="C272" s="91"/>
      <c r="D272" s="91"/>
      <c r="E272" s="92"/>
      <c r="F272" s="90"/>
      <c r="G272" s="91"/>
      <c r="H272" s="91"/>
      <c r="I272" s="91"/>
      <c r="J272" s="91"/>
      <c r="K272" s="91"/>
      <c r="L272" s="91"/>
      <c r="M272" s="91"/>
      <c r="N272" s="91"/>
      <c r="O272" s="91"/>
      <c r="P272" s="92"/>
      <c r="Q272" s="90"/>
      <c r="R272" s="91"/>
      <c r="S272" s="92"/>
    </row>
    <row r="273" spans="2:21" s="7" customFormat="1" x14ac:dyDescent="0.25">
      <c r="B273" s="90"/>
      <c r="C273" s="91"/>
      <c r="D273" s="91"/>
      <c r="E273" s="92"/>
      <c r="F273" s="90"/>
      <c r="G273" s="91"/>
      <c r="H273" s="91"/>
      <c r="I273" s="91"/>
      <c r="J273" s="91"/>
      <c r="K273" s="91"/>
      <c r="L273" s="91"/>
      <c r="M273" s="91"/>
      <c r="N273" s="91"/>
      <c r="O273" s="91"/>
      <c r="P273" s="92"/>
      <c r="Q273" s="90"/>
      <c r="R273" s="91"/>
      <c r="S273" s="92"/>
    </row>
    <row r="274" spans="2:21" s="7" customFormat="1" x14ac:dyDescent="0.25"/>
    <row r="275" spans="2:21" s="7" customFormat="1" x14ac:dyDescent="0.25">
      <c r="B275" s="7" t="s">
        <v>101</v>
      </c>
    </row>
    <row r="276" spans="2:21" s="7" customFormat="1" x14ac:dyDescent="0.25">
      <c r="B276" s="85" t="s">
        <v>102</v>
      </c>
      <c r="C276" s="85"/>
      <c r="D276" s="44" t="s">
        <v>103</v>
      </c>
      <c r="E276" s="85" t="s">
        <v>104</v>
      </c>
      <c r="F276" s="85"/>
      <c r="G276" s="85" t="s">
        <v>105</v>
      </c>
      <c r="H276" s="85"/>
      <c r="I276" s="44" t="s">
        <v>106</v>
      </c>
      <c r="J276" s="85" t="s">
        <v>107</v>
      </c>
      <c r="K276" s="85"/>
      <c r="L276" s="85" t="s">
        <v>108</v>
      </c>
      <c r="M276" s="85"/>
      <c r="N276" s="93" t="s">
        <v>256</v>
      </c>
      <c r="O276" s="93"/>
      <c r="P276" s="111" t="s">
        <v>257</v>
      </c>
      <c r="Q276" s="111"/>
      <c r="R276" s="111" t="s">
        <v>782</v>
      </c>
      <c r="S276" s="111"/>
      <c r="T276" s="111" t="s">
        <v>258</v>
      </c>
      <c r="U276" s="111"/>
    </row>
    <row r="277" spans="2:21" s="7" customFormat="1" x14ac:dyDescent="0.25">
      <c r="B277" s="112" t="s">
        <v>109</v>
      </c>
      <c r="C277" s="112"/>
      <c r="D277" s="50" t="s">
        <v>110</v>
      </c>
      <c r="E277" s="109">
        <f>ROUNDDOWN((G277+I277+J277+L277+N277+P277+R277+T277),0)</f>
        <v>3</v>
      </c>
      <c r="F277" s="109"/>
      <c r="G277" s="109">
        <f>J68</f>
        <v>3</v>
      </c>
      <c r="H277" s="109"/>
      <c r="I277" s="28">
        <f>SUMIF(F349:F369,"&gt;0",V349:V369)</f>
        <v>0</v>
      </c>
      <c r="J277" s="110"/>
      <c r="K277" s="110"/>
      <c r="L277" s="110"/>
      <c r="M277" s="110"/>
      <c r="N277" s="110"/>
      <c r="O277" s="110"/>
      <c r="P277" s="108"/>
      <c r="Q277" s="108"/>
      <c r="R277" s="108"/>
      <c r="S277" s="108"/>
      <c r="T277" s="108"/>
      <c r="U277" s="108"/>
    </row>
    <row r="278" spans="2:21" s="7" customFormat="1" x14ac:dyDescent="0.25">
      <c r="B278" s="112" t="s">
        <v>201</v>
      </c>
      <c r="C278" s="112"/>
      <c r="D278" s="50" t="s">
        <v>129</v>
      </c>
      <c r="E278" s="109">
        <f t="shared" ref="E278:E293" si="2">(G278+I278+J278+L278+N278+P278+R278+T278)</f>
        <v>2</v>
      </c>
      <c r="F278" s="109"/>
      <c r="G278" s="109">
        <f>J69</f>
        <v>2</v>
      </c>
      <c r="H278" s="109"/>
      <c r="I278" s="28">
        <f>SUMIF(F349:F369,"&gt;0",W349:W369)</f>
        <v>0</v>
      </c>
      <c r="J278" s="110"/>
      <c r="K278" s="110"/>
      <c r="L278" s="110"/>
      <c r="M278" s="110"/>
      <c r="N278" s="110"/>
      <c r="O278" s="110"/>
      <c r="P278" s="108"/>
      <c r="Q278" s="108"/>
      <c r="R278" s="108"/>
      <c r="S278" s="108"/>
      <c r="T278" s="108"/>
      <c r="U278" s="108"/>
    </row>
    <row r="279" spans="2:21" s="7" customFormat="1" x14ac:dyDescent="0.25">
      <c r="B279" s="112" t="s">
        <v>111</v>
      </c>
      <c r="C279" s="112"/>
      <c r="D279" s="50" t="s">
        <v>112</v>
      </c>
      <c r="E279" s="109">
        <f t="shared" si="2"/>
        <v>0</v>
      </c>
      <c r="F279" s="109"/>
      <c r="G279" s="109">
        <f>IF(J66&gt;G203,G203,J66)</f>
        <v>0</v>
      </c>
      <c r="H279" s="109"/>
      <c r="I279" s="28">
        <f>SUMIF(F349:F369,"&gt;0",X349:X369)</f>
        <v>0</v>
      </c>
      <c r="J279" s="109">
        <f>D218</f>
        <v>0</v>
      </c>
      <c r="K279" s="109"/>
      <c r="L279" s="110"/>
      <c r="M279" s="110"/>
      <c r="N279" s="110"/>
      <c r="O279" s="110"/>
      <c r="P279" s="108"/>
      <c r="Q279" s="108"/>
      <c r="R279" s="108"/>
      <c r="S279" s="108"/>
      <c r="T279" s="108"/>
      <c r="U279" s="108"/>
    </row>
    <row r="280" spans="2:21" s="7" customFormat="1" x14ac:dyDescent="0.25">
      <c r="B280" s="112" t="s">
        <v>113</v>
      </c>
      <c r="C280" s="112"/>
      <c r="D280" s="50" t="s">
        <v>114</v>
      </c>
      <c r="E280" s="109">
        <f t="shared" si="2"/>
        <v>2</v>
      </c>
      <c r="F280" s="109"/>
      <c r="G280" s="109">
        <f>J70</f>
        <v>2</v>
      </c>
      <c r="H280" s="109"/>
      <c r="I280" s="28">
        <f>SUMIF(F349:F369,"&gt;0",Y349:Y369)</f>
        <v>0</v>
      </c>
      <c r="J280" s="110"/>
      <c r="K280" s="110"/>
      <c r="L280" s="110"/>
      <c r="M280" s="110"/>
      <c r="N280" s="110"/>
      <c r="O280" s="110"/>
      <c r="P280" s="108"/>
      <c r="Q280" s="108"/>
      <c r="R280" s="108"/>
      <c r="S280" s="108"/>
      <c r="T280" s="108"/>
      <c r="U280" s="108"/>
    </row>
    <row r="281" spans="2:21" s="7" customFormat="1" x14ac:dyDescent="0.25">
      <c r="B281" s="112" t="s">
        <v>115</v>
      </c>
      <c r="C281" s="112"/>
      <c r="D281" s="50" t="s">
        <v>116</v>
      </c>
      <c r="E281" s="109">
        <f t="shared" si="2"/>
        <v>6</v>
      </c>
      <c r="F281" s="109"/>
      <c r="G281" s="109">
        <f>J65</f>
        <v>6</v>
      </c>
      <c r="H281" s="109"/>
      <c r="I281" s="28">
        <f>SUMIF(F349:F369,"&gt;0",Z349:Z369)</f>
        <v>0</v>
      </c>
      <c r="J281" s="109">
        <f>D218</f>
        <v>0</v>
      </c>
      <c r="K281" s="109"/>
      <c r="L281" s="110"/>
      <c r="M281" s="110"/>
      <c r="N281" s="110"/>
      <c r="O281" s="110"/>
      <c r="P281" s="108"/>
      <c r="Q281" s="108"/>
      <c r="R281" s="108"/>
      <c r="S281" s="108"/>
      <c r="T281" s="108"/>
      <c r="U281" s="108"/>
    </row>
    <row r="282" spans="2:21" s="7" customFormat="1" x14ac:dyDescent="0.25">
      <c r="B282" s="112" t="s">
        <v>117</v>
      </c>
      <c r="C282" s="112"/>
      <c r="D282" s="50" t="s">
        <v>118</v>
      </c>
      <c r="E282" s="109">
        <f t="shared" si="2"/>
        <v>7</v>
      </c>
      <c r="F282" s="109"/>
      <c r="G282" s="109">
        <f>J67</f>
        <v>7</v>
      </c>
      <c r="H282" s="109"/>
      <c r="I282" s="28">
        <f>SUMIF(F349:F369,"&gt;0",AA349:AA369)</f>
        <v>0</v>
      </c>
      <c r="J282" s="110"/>
      <c r="K282" s="110"/>
      <c r="L282" s="110"/>
      <c r="M282" s="110"/>
      <c r="N282" s="110"/>
      <c r="O282" s="110"/>
      <c r="P282" s="108"/>
      <c r="Q282" s="108"/>
      <c r="R282" s="108"/>
      <c r="S282" s="108"/>
      <c r="T282" s="108"/>
      <c r="U282" s="108"/>
    </row>
    <row r="283" spans="2:21" s="7" customFormat="1" x14ac:dyDescent="0.25">
      <c r="B283" s="112" t="s">
        <v>217</v>
      </c>
      <c r="C283" s="112"/>
      <c r="D283" s="50" t="s">
        <v>129</v>
      </c>
      <c r="E283" s="109">
        <f t="shared" si="2"/>
        <v>2</v>
      </c>
      <c r="F283" s="109"/>
      <c r="G283" s="109">
        <f>J69</f>
        <v>2</v>
      </c>
      <c r="H283" s="109"/>
      <c r="I283" s="28">
        <f>SUMIF(F349:F369,"&gt;0",AB349:AB369)</f>
        <v>0</v>
      </c>
      <c r="J283" s="110"/>
      <c r="K283" s="110"/>
      <c r="L283" s="110"/>
      <c r="M283" s="110"/>
      <c r="N283" s="110"/>
      <c r="O283" s="110"/>
      <c r="P283" s="108"/>
      <c r="Q283" s="108"/>
      <c r="R283" s="108"/>
      <c r="S283" s="108"/>
      <c r="T283" s="108"/>
      <c r="U283" s="108"/>
    </row>
    <row r="284" spans="2:21" s="7" customFormat="1" x14ac:dyDescent="0.25">
      <c r="B284" s="112" t="s">
        <v>119</v>
      </c>
      <c r="C284" s="112"/>
      <c r="D284" s="50" t="s">
        <v>110</v>
      </c>
      <c r="E284" s="109">
        <f t="shared" si="2"/>
        <v>3</v>
      </c>
      <c r="F284" s="109"/>
      <c r="G284" s="109">
        <f>J68</f>
        <v>3</v>
      </c>
      <c r="H284" s="109"/>
      <c r="I284" s="28">
        <f>SUMIF(F349:F369,"&gt;0",AC349:AC369)</f>
        <v>0</v>
      </c>
      <c r="J284" s="110"/>
      <c r="K284" s="110"/>
      <c r="L284" s="110"/>
      <c r="M284" s="110"/>
      <c r="N284" s="110"/>
      <c r="O284" s="110"/>
      <c r="P284" s="108"/>
      <c r="Q284" s="108"/>
      <c r="R284" s="108"/>
      <c r="S284" s="108"/>
      <c r="T284" s="108"/>
      <c r="U284" s="108"/>
    </row>
    <row r="285" spans="2:21" s="7" customFormat="1" x14ac:dyDescent="0.25">
      <c r="B285" s="112" t="s">
        <v>120</v>
      </c>
      <c r="C285" s="112"/>
      <c r="D285" s="50" t="s">
        <v>110</v>
      </c>
      <c r="E285" s="109">
        <f t="shared" si="2"/>
        <v>3</v>
      </c>
      <c r="F285" s="109"/>
      <c r="G285" s="109">
        <f>J68</f>
        <v>3</v>
      </c>
      <c r="H285" s="109"/>
      <c r="I285" s="28">
        <f>SUMIF(F349:F369,"&gt;0",AD349:AD369)</f>
        <v>0</v>
      </c>
      <c r="J285" s="110"/>
      <c r="K285" s="110"/>
      <c r="L285" s="110"/>
      <c r="M285" s="110"/>
      <c r="N285" s="110"/>
      <c r="O285" s="110"/>
      <c r="P285" s="108"/>
      <c r="Q285" s="108"/>
      <c r="R285" s="108"/>
      <c r="S285" s="108"/>
      <c r="T285" s="108"/>
      <c r="U285" s="108"/>
    </row>
    <row r="286" spans="2:21" s="7" customFormat="1" x14ac:dyDescent="0.25">
      <c r="B286" s="112" t="s">
        <v>121</v>
      </c>
      <c r="C286" s="112"/>
      <c r="D286" s="50" t="s">
        <v>114</v>
      </c>
      <c r="E286" s="109">
        <f t="shared" si="2"/>
        <v>2</v>
      </c>
      <c r="F286" s="109"/>
      <c r="G286" s="109">
        <f>J70</f>
        <v>2</v>
      </c>
      <c r="H286" s="109"/>
      <c r="I286" s="28">
        <f>SUMIF(F349:F369,"&gt;0",AE349:AE369)</f>
        <v>0</v>
      </c>
      <c r="J286" s="110"/>
      <c r="K286" s="110"/>
      <c r="L286" s="110"/>
      <c r="M286" s="110"/>
      <c r="N286" s="110"/>
      <c r="O286" s="110"/>
      <c r="P286" s="108"/>
      <c r="Q286" s="108"/>
      <c r="R286" s="108"/>
      <c r="S286" s="108"/>
      <c r="T286" s="108"/>
      <c r="U286" s="108"/>
    </row>
    <row r="287" spans="2:21" s="7" customFormat="1" x14ac:dyDescent="0.25">
      <c r="B287" s="112" t="s">
        <v>122</v>
      </c>
      <c r="C287" s="112"/>
      <c r="D287" s="50" t="s">
        <v>110</v>
      </c>
      <c r="E287" s="109">
        <f t="shared" si="2"/>
        <v>3</v>
      </c>
      <c r="F287" s="109"/>
      <c r="G287" s="109">
        <f>J68</f>
        <v>3</v>
      </c>
      <c r="H287" s="109"/>
      <c r="I287" s="28">
        <f>SUMIF(F349:F369,"&gt;0",AF349:AF369)</f>
        <v>0</v>
      </c>
      <c r="J287" s="110"/>
      <c r="K287" s="110"/>
      <c r="L287" s="110"/>
      <c r="M287" s="110"/>
      <c r="N287" s="110"/>
      <c r="O287" s="110"/>
      <c r="P287" s="108"/>
      <c r="Q287" s="108"/>
      <c r="R287" s="108"/>
      <c r="S287" s="108"/>
      <c r="T287" s="108"/>
      <c r="U287" s="108"/>
    </row>
    <row r="288" spans="2:21" s="7" customFormat="1" x14ac:dyDescent="0.25">
      <c r="B288" s="112" t="s">
        <v>123</v>
      </c>
      <c r="C288" s="112"/>
      <c r="D288" s="50" t="s">
        <v>114</v>
      </c>
      <c r="E288" s="109">
        <f t="shared" si="2"/>
        <v>2</v>
      </c>
      <c r="F288" s="109"/>
      <c r="G288" s="109">
        <f>J70</f>
        <v>2</v>
      </c>
      <c r="H288" s="109"/>
      <c r="I288" s="28">
        <f>SUMIF(F349:F369,"&gt;0",AG349:AG369)</f>
        <v>0</v>
      </c>
      <c r="J288" s="110"/>
      <c r="K288" s="110"/>
      <c r="L288" s="110"/>
      <c r="M288" s="110"/>
      <c r="N288" s="110"/>
      <c r="O288" s="110"/>
      <c r="P288" s="108"/>
      <c r="Q288" s="108"/>
      <c r="R288" s="108"/>
      <c r="S288" s="108"/>
      <c r="T288" s="108"/>
      <c r="U288" s="108"/>
    </row>
    <row r="289" spans="2:21" s="7" customFormat="1" x14ac:dyDescent="0.25">
      <c r="B289" s="112" t="s">
        <v>124</v>
      </c>
      <c r="C289" s="112"/>
      <c r="D289" s="50" t="s">
        <v>112</v>
      </c>
      <c r="E289" s="109">
        <f t="shared" si="2"/>
        <v>3</v>
      </c>
      <c r="F289" s="109"/>
      <c r="G289" s="109">
        <f>J66</f>
        <v>3</v>
      </c>
      <c r="H289" s="109"/>
      <c r="I289" s="28">
        <f>SUMIF(F349:F369,"&gt;0",AH349:AH369)</f>
        <v>0</v>
      </c>
      <c r="J289" s="109">
        <f>D218</f>
        <v>0</v>
      </c>
      <c r="K289" s="109"/>
      <c r="L289" s="110"/>
      <c r="M289" s="110"/>
      <c r="N289" s="110"/>
      <c r="O289" s="110"/>
      <c r="P289" s="108"/>
      <c r="Q289" s="108"/>
      <c r="R289" s="108"/>
      <c r="S289" s="108"/>
      <c r="T289" s="108"/>
      <c r="U289" s="108"/>
    </row>
    <row r="290" spans="2:21" s="7" customFormat="1" x14ac:dyDescent="0.25">
      <c r="B290" s="112" t="s">
        <v>125</v>
      </c>
      <c r="C290" s="112"/>
      <c r="D290" s="50" t="s">
        <v>110</v>
      </c>
      <c r="E290" s="109">
        <f t="shared" si="2"/>
        <v>3</v>
      </c>
      <c r="F290" s="109"/>
      <c r="G290" s="109">
        <f>J68</f>
        <v>3</v>
      </c>
      <c r="H290" s="109"/>
      <c r="I290" s="28">
        <f>SUMIF(F349:F369,"&gt;0",AI349:AI369)</f>
        <v>0</v>
      </c>
      <c r="J290" s="110"/>
      <c r="K290" s="110"/>
      <c r="L290" s="110"/>
      <c r="M290" s="110"/>
      <c r="N290" s="110"/>
      <c r="O290" s="110"/>
      <c r="P290" s="108"/>
      <c r="Q290" s="108"/>
      <c r="R290" s="108"/>
      <c r="S290" s="108"/>
      <c r="T290" s="108"/>
      <c r="U290" s="108"/>
    </row>
    <row r="291" spans="2:21" s="7" customFormat="1" x14ac:dyDescent="0.25">
      <c r="B291" s="112" t="s">
        <v>126</v>
      </c>
      <c r="C291" s="112"/>
      <c r="D291" s="50" t="s">
        <v>114</v>
      </c>
      <c r="E291" s="109">
        <f t="shared" si="2"/>
        <v>2</v>
      </c>
      <c r="F291" s="109"/>
      <c r="G291" s="109">
        <f>J70</f>
        <v>2</v>
      </c>
      <c r="H291" s="109"/>
      <c r="I291" s="28">
        <f>SUMIF(F349:F369,"&gt;0",AJ349:AJ369)</f>
        <v>0</v>
      </c>
      <c r="J291" s="110"/>
      <c r="K291" s="110"/>
      <c r="L291" s="110"/>
      <c r="M291" s="110"/>
      <c r="N291" s="110"/>
      <c r="O291" s="110"/>
      <c r="P291" s="108"/>
      <c r="Q291" s="108"/>
      <c r="R291" s="108"/>
      <c r="S291" s="108"/>
      <c r="T291" s="108"/>
      <c r="U291" s="108"/>
    </row>
    <row r="292" spans="2:21" s="7" customFormat="1" x14ac:dyDescent="0.25">
      <c r="B292" s="112" t="s">
        <v>127</v>
      </c>
      <c r="C292" s="112"/>
      <c r="D292" s="50" t="s">
        <v>114</v>
      </c>
      <c r="E292" s="109">
        <f t="shared" si="2"/>
        <v>2</v>
      </c>
      <c r="F292" s="109"/>
      <c r="G292" s="109">
        <f>J70</f>
        <v>2</v>
      </c>
      <c r="H292" s="109"/>
      <c r="I292" s="28">
        <f>SUMIF(F349:F369,"&gt;0",AK349:AK369)</f>
        <v>0</v>
      </c>
      <c r="J292" s="110"/>
      <c r="K292" s="110"/>
      <c r="L292" s="110"/>
      <c r="M292" s="110"/>
      <c r="N292" s="110"/>
      <c r="O292" s="110"/>
      <c r="P292" s="108"/>
      <c r="Q292" s="108"/>
      <c r="R292" s="108"/>
      <c r="S292" s="108"/>
      <c r="T292" s="108"/>
      <c r="U292" s="108"/>
    </row>
    <row r="293" spans="2:21" s="7" customFormat="1" x14ac:dyDescent="0.25">
      <c r="B293" s="112" t="s">
        <v>128</v>
      </c>
      <c r="C293" s="112"/>
      <c r="D293" s="50" t="s">
        <v>129</v>
      </c>
      <c r="E293" s="109">
        <f t="shared" si="2"/>
        <v>2</v>
      </c>
      <c r="F293" s="109"/>
      <c r="G293" s="109">
        <f>J69</f>
        <v>2</v>
      </c>
      <c r="H293" s="109"/>
      <c r="I293" s="28">
        <f>SUMIF(F349:F369,"&gt;0",AL349:AL369)</f>
        <v>0</v>
      </c>
      <c r="J293" s="110"/>
      <c r="K293" s="110"/>
      <c r="L293" s="110"/>
      <c r="M293" s="110"/>
      <c r="N293" s="110"/>
      <c r="O293" s="110"/>
      <c r="P293" s="108"/>
      <c r="Q293" s="108"/>
      <c r="R293" s="108"/>
      <c r="S293" s="108"/>
      <c r="T293" s="108"/>
      <c r="U293" s="108"/>
    </row>
    <row r="294" spans="2:21" s="7" customFormat="1" x14ac:dyDescent="0.25">
      <c r="B294" s="112" t="s">
        <v>130</v>
      </c>
      <c r="C294" s="112"/>
      <c r="D294" s="50" t="s">
        <v>112</v>
      </c>
      <c r="E294" s="109">
        <f>(G294+I294+J294+L294+N294+P294+R294+(LOOKUP(VLOOKUP(D41,SizeTable,2,FALSE), {-8,-4,-2,-1,0,1,2,4,8},{-16,-12,-8,-4,0,4,8,12,16})))</f>
        <v>10</v>
      </c>
      <c r="F294" s="109"/>
      <c r="G294" s="109">
        <f>J66</f>
        <v>3</v>
      </c>
      <c r="H294" s="109"/>
      <c r="I294" s="28">
        <f>SUMIF(F349:F369,"&gt;0",AM349:AM369)</f>
        <v>7</v>
      </c>
      <c r="J294" s="109">
        <f>D218</f>
        <v>0</v>
      </c>
      <c r="K294" s="109"/>
      <c r="L294" s="110"/>
      <c r="M294" s="110"/>
      <c r="N294" s="110"/>
      <c r="O294" s="110"/>
      <c r="P294" s="108"/>
      <c r="Q294" s="108"/>
      <c r="R294" s="108"/>
      <c r="S294" s="108"/>
      <c r="T294" s="108"/>
      <c r="U294" s="108"/>
    </row>
    <row r="295" spans="2:21" s="7" customFormat="1" x14ac:dyDescent="0.25">
      <c r="B295" s="112" t="s">
        <v>205</v>
      </c>
      <c r="C295" s="112"/>
      <c r="D295" s="50" t="s">
        <v>114</v>
      </c>
      <c r="E295" s="109">
        <f t="shared" ref="E295:E320" si="3">(G295+I295+J295+L295+N295+P295+R295+T295)</f>
        <v>2</v>
      </c>
      <c r="F295" s="109"/>
      <c r="G295" s="109">
        <f>J70</f>
        <v>2</v>
      </c>
      <c r="H295" s="109"/>
      <c r="I295" s="28">
        <f>SUMIF(F349:F369,"&gt;0",AN349:AN369)</f>
        <v>0</v>
      </c>
      <c r="J295" s="110"/>
      <c r="K295" s="110"/>
      <c r="L295" s="110"/>
      <c r="M295" s="110"/>
      <c r="N295" s="110"/>
      <c r="O295" s="110"/>
      <c r="P295" s="108"/>
      <c r="Q295" s="108"/>
      <c r="R295" s="108"/>
      <c r="S295" s="108"/>
      <c r="T295" s="108"/>
      <c r="U295" s="108"/>
    </row>
    <row r="296" spans="2:21" s="7" customFormat="1" x14ac:dyDescent="0.25">
      <c r="B296" s="112" t="s">
        <v>131</v>
      </c>
      <c r="C296" s="112"/>
      <c r="D296" s="50" t="s">
        <v>114</v>
      </c>
      <c r="E296" s="109">
        <f t="shared" si="3"/>
        <v>9</v>
      </c>
      <c r="F296" s="109"/>
      <c r="G296" s="109">
        <f>J70</f>
        <v>2</v>
      </c>
      <c r="H296" s="109"/>
      <c r="I296" s="28">
        <f>SUMIF(F349:F369,"&gt;0",AO349:AO369)</f>
        <v>7</v>
      </c>
      <c r="J296" s="110"/>
      <c r="K296" s="110"/>
      <c r="L296" s="110"/>
      <c r="M296" s="110"/>
      <c r="N296" s="110"/>
      <c r="O296" s="110"/>
      <c r="P296" s="108"/>
      <c r="Q296" s="108"/>
      <c r="R296" s="108"/>
      <c r="S296" s="108"/>
      <c r="T296" s="108"/>
      <c r="U296" s="108"/>
    </row>
    <row r="297" spans="2:21" s="7" customFormat="1" x14ac:dyDescent="0.25">
      <c r="B297" s="112" t="s">
        <v>132</v>
      </c>
      <c r="C297" s="112"/>
      <c r="D297" s="50" t="s">
        <v>116</v>
      </c>
      <c r="E297" s="109">
        <f t="shared" si="3"/>
        <v>6</v>
      </c>
      <c r="F297" s="109"/>
      <c r="G297" s="109">
        <f>J65</f>
        <v>6</v>
      </c>
      <c r="H297" s="109"/>
      <c r="I297" s="28">
        <f>SUMIF(F349:F369,"&gt;0",AP349:AP369)</f>
        <v>0</v>
      </c>
      <c r="J297" s="109">
        <f>D218</f>
        <v>0</v>
      </c>
      <c r="K297" s="109"/>
      <c r="L297" s="110"/>
      <c r="M297" s="110"/>
      <c r="N297" s="110"/>
      <c r="O297" s="110"/>
      <c r="P297" s="108"/>
      <c r="Q297" s="108"/>
      <c r="R297" s="108"/>
      <c r="S297" s="108"/>
      <c r="T297" s="108"/>
      <c r="U297" s="108"/>
    </row>
    <row r="298" spans="2:21" s="7" customFormat="1" x14ac:dyDescent="0.25">
      <c r="B298" s="112" t="s">
        <v>179</v>
      </c>
      <c r="C298" s="112"/>
      <c r="D298" s="50" t="s">
        <v>110</v>
      </c>
      <c r="E298" s="109">
        <f t="shared" si="3"/>
        <v>7</v>
      </c>
      <c r="F298" s="109"/>
      <c r="G298" s="109">
        <f>J68</f>
        <v>3</v>
      </c>
      <c r="H298" s="109"/>
      <c r="I298" s="28">
        <f>SUMIF(F349:F369,"&gt;0",AQ349:AQ369)</f>
        <v>4</v>
      </c>
      <c r="J298" s="110"/>
      <c r="K298" s="110"/>
      <c r="L298" s="110"/>
      <c r="M298" s="110"/>
      <c r="N298" s="110"/>
      <c r="O298" s="110"/>
      <c r="P298" s="108"/>
      <c r="Q298" s="108"/>
      <c r="R298" s="108"/>
      <c r="S298" s="108"/>
      <c r="T298" s="108"/>
      <c r="U298" s="108"/>
    </row>
    <row r="299" spans="2:21" s="7" customFormat="1" x14ac:dyDescent="0.25">
      <c r="B299" s="187" t="s">
        <v>178</v>
      </c>
      <c r="C299" s="187"/>
      <c r="D299" s="50" t="s">
        <v>110</v>
      </c>
      <c r="E299" s="109">
        <f t="shared" si="3"/>
        <v>3</v>
      </c>
      <c r="F299" s="109"/>
      <c r="G299" s="109">
        <f>J68</f>
        <v>3</v>
      </c>
      <c r="H299" s="109"/>
      <c r="I299" s="28">
        <f>SUMIF(F349:F369,"&gt;0",AR349:AR369)</f>
        <v>0</v>
      </c>
      <c r="J299" s="110"/>
      <c r="K299" s="110"/>
      <c r="L299" s="110"/>
      <c r="M299" s="110"/>
      <c r="N299" s="110"/>
      <c r="O299" s="110"/>
      <c r="P299" s="108"/>
      <c r="Q299" s="108"/>
      <c r="R299" s="108"/>
      <c r="S299" s="108"/>
      <c r="T299" s="108"/>
      <c r="U299" s="108"/>
    </row>
    <row r="300" spans="2:21" s="7" customFormat="1" x14ac:dyDescent="0.25">
      <c r="B300" s="187" t="s">
        <v>180</v>
      </c>
      <c r="C300" s="187"/>
      <c r="D300" s="50" t="s">
        <v>110</v>
      </c>
      <c r="E300" s="109">
        <f t="shared" si="3"/>
        <v>7</v>
      </c>
      <c r="F300" s="109"/>
      <c r="G300" s="109">
        <f>J68</f>
        <v>3</v>
      </c>
      <c r="H300" s="109"/>
      <c r="I300" s="28">
        <f>SUMIF(F349:F369,"&gt;0",AS349:AS369)</f>
        <v>4</v>
      </c>
      <c r="J300" s="110"/>
      <c r="K300" s="110"/>
      <c r="L300" s="110"/>
      <c r="M300" s="110"/>
      <c r="N300" s="110"/>
      <c r="O300" s="110"/>
      <c r="P300" s="108"/>
      <c r="Q300" s="108"/>
      <c r="R300" s="108"/>
      <c r="S300" s="108"/>
      <c r="T300" s="108"/>
      <c r="U300" s="108"/>
    </row>
    <row r="301" spans="2:21" s="7" customFormat="1" x14ac:dyDescent="0.25">
      <c r="B301" s="187" t="s">
        <v>181</v>
      </c>
      <c r="C301" s="187"/>
      <c r="D301" s="50" t="s">
        <v>110</v>
      </c>
      <c r="E301" s="109">
        <f t="shared" si="3"/>
        <v>3</v>
      </c>
      <c r="F301" s="109"/>
      <c r="G301" s="109">
        <f>J68</f>
        <v>3</v>
      </c>
      <c r="H301" s="109"/>
      <c r="I301" s="28">
        <f>SUMIF(F349:F369,"&gt;0",AT349:AT369)</f>
        <v>0</v>
      </c>
      <c r="J301" s="110"/>
      <c r="K301" s="110"/>
      <c r="L301" s="110"/>
      <c r="M301" s="110"/>
      <c r="N301" s="110"/>
      <c r="O301" s="110"/>
      <c r="P301" s="108"/>
      <c r="Q301" s="108"/>
      <c r="R301" s="108"/>
      <c r="S301" s="108"/>
      <c r="T301" s="108"/>
      <c r="U301" s="108"/>
    </row>
    <row r="302" spans="2:21" s="7" customFormat="1" x14ac:dyDescent="0.25">
      <c r="B302" s="187" t="s">
        <v>182</v>
      </c>
      <c r="C302" s="187"/>
      <c r="D302" s="50" t="s">
        <v>110</v>
      </c>
      <c r="E302" s="109">
        <f t="shared" si="3"/>
        <v>3</v>
      </c>
      <c r="F302" s="109"/>
      <c r="G302" s="109">
        <f>J68</f>
        <v>3</v>
      </c>
      <c r="H302" s="109"/>
      <c r="I302" s="28">
        <f>SUMIF(F349:F369,"&gt;0",AU349:AU369)</f>
        <v>0</v>
      </c>
      <c r="J302" s="110"/>
      <c r="K302" s="110"/>
      <c r="L302" s="110"/>
      <c r="M302" s="110"/>
      <c r="N302" s="110"/>
      <c r="O302" s="110"/>
      <c r="P302" s="108"/>
      <c r="Q302" s="108"/>
      <c r="R302" s="108"/>
      <c r="S302" s="108"/>
      <c r="T302" s="108"/>
      <c r="U302" s="108"/>
    </row>
    <row r="303" spans="2:21" s="7" customFormat="1" x14ac:dyDescent="0.25">
      <c r="B303" s="187" t="s">
        <v>183</v>
      </c>
      <c r="C303" s="187"/>
      <c r="D303" s="50" t="s">
        <v>110</v>
      </c>
      <c r="E303" s="109">
        <f t="shared" si="3"/>
        <v>6</v>
      </c>
      <c r="F303" s="109"/>
      <c r="G303" s="109">
        <f>J68</f>
        <v>3</v>
      </c>
      <c r="H303" s="109"/>
      <c r="I303" s="28">
        <f>SUMIF(F349:F369,"&gt;0",AV349:AV369)</f>
        <v>3</v>
      </c>
      <c r="J303" s="110"/>
      <c r="K303" s="110"/>
      <c r="L303" s="110"/>
      <c r="M303" s="110"/>
      <c r="N303" s="110"/>
      <c r="O303" s="110"/>
      <c r="P303" s="108"/>
      <c r="Q303" s="108"/>
      <c r="R303" s="108"/>
      <c r="S303" s="108"/>
      <c r="T303" s="108"/>
      <c r="U303" s="108"/>
    </row>
    <row r="304" spans="2:21" s="7" customFormat="1" x14ac:dyDescent="0.25">
      <c r="B304" s="187" t="s">
        <v>184</v>
      </c>
      <c r="C304" s="187"/>
      <c r="D304" s="50" t="s">
        <v>110</v>
      </c>
      <c r="E304" s="109">
        <f t="shared" si="3"/>
        <v>6</v>
      </c>
      <c r="F304" s="109"/>
      <c r="G304" s="109">
        <f>J68</f>
        <v>3</v>
      </c>
      <c r="H304" s="109"/>
      <c r="I304" s="28">
        <f>SUMIF(F349:F369,"&gt;0",AW349:AW369)</f>
        <v>3</v>
      </c>
      <c r="J304" s="110"/>
      <c r="K304" s="110"/>
      <c r="L304" s="110"/>
      <c r="M304" s="110"/>
      <c r="N304" s="110"/>
      <c r="O304" s="110"/>
      <c r="P304" s="108"/>
      <c r="Q304" s="108"/>
      <c r="R304" s="108"/>
      <c r="S304" s="108"/>
      <c r="T304" s="108"/>
      <c r="U304" s="108"/>
    </row>
    <row r="305" spans="2:21" s="7" customFormat="1" x14ac:dyDescent="0.25">
      <c r="B305" s="187" t="s">
        <v>185</v>
      </c>
      <c r="C305" s="187"/>
      <c r="D305" s="50" t="s">
        <v>110</v>
      </c>
      <c r="E305" s="109">
        <f t="shared" si="3"/>
        <v>3</v>
      </c>
      <c r="F305" s="109"/>
      <c r="G305" s="109">
        <f>J68</f>
        <v>3</v>
      </c>
      <c r="H305" s="109"/>
      <c r="I305" s="28">
        <f>SUMIF(F349:F369,"&gt;0",AX349:AX369)</f>
        <v>0</v>
      </c>
      <c r="J305" s="110"/>
      <c r="K305" s="110"/>
      <c r="L305" s="110"/>
      <c r="M305" s="110"/>
      <c r="N305" s="110"/>
      <c r="O305" s="110"/>
      <c r="P305" s="108"/>
      <c r="Q305" s="108"/>
      <c r="R305" s="108"/>
      <c r="S305" s="108"/>
      <c r="T305" s="108"/>
      <c r="U305" s="108"/>
    </row>
    <row r="306" spans="2:21" s="7" customFormat="1" x14ac:dyDescent="0.25">
      <c r="B306" s="187" t="s">
        <v>186</v>
      </c>
      <c r="C306" s="187"/>
      <c r="D306" s="50" t="s">
        <v>110</v>
      </c>
      <c r="E306" s="109">
        <f t="shared" si="3"/>
        <v>5</v>
      </c>
      <c r="F306" s="109"/>
      <c r="G306" s="109">
        <f>J68</f>
        <v>3</v>
      </c>
      <c r="H306" s="109"/>
      <c r="I306" s="28">
        <f>SUMIF(F349:F369,"&gt;0",AY349:AY369)</f>
        <v>2</v>
      </c>
      <c r="J306" s="110"/>
      <c r="K306" s="110"/>
      <c r="L306" s="110"/>
      <c r="M306" s="110"/>
      <c r="N306" s="110"/>
      <c r="O306" s="110"/>
      <c r="P306" s="108"/>
      <c r="Q306" s="108"/>
      <c r="R306" s="108"/>
      <c r="S306" s="108"/>
      <c r="T306" s="108"/>
      <c r="U306" s="108"/>
    </row>
    <row r="307" spans="2:21" s="7" customFormat="1" x14ac:dyDescent="0.25">
      <c r="B307" s="187" t="s">
        <v>187</v>
      </c>
      <c r="C307" s="187"/>
      <c r="D307" s="50" t="s">
        <v>110</v>
      </c>
      <c r="E307" s="109">
        <f t="shared" si="3"/>
        <v>3</v>
      </c>
      <c r="F307" s="109"/>
      <c r="G307" s="109">
        <f>J68</f>
        <v>3</v>
      </c>
      <c r="H307" s="109"/>
      <c r="I307" s="28">
        <f>SUMIF(F349:F369,"&gt;0",AZ349:AZ369)</f>
        <v>0</v>
      </c>
      <c r="J307" s="110"/>
      <c r="K307" s="110"/>
      <c r="L307" s="110"/>
      <c r="M307" s="110"/>
      <c r="N307" s="110"/>
      <c r="O307" s="110"/>
      <c r="P307" s="108"/>
      <c r="Q307" s="108"/>
      <c r="R307" s="108"/>
      <c r="S307" s="108"/>
      <c r="T307" s="108"/>
      <c r="U307" s="108"/>
    </row>
    <row r="308" spans="2:21" s="7" customFormat="1" x14ac:dyDescent="0.25">
      <c r="B308" s="112" t="s">
        <v>202</v>
      </c>
      <c r="C308" s="112"/>
      <c r="D308" s="50" t="s">
        <v>110</v>
      </c>
      <c r="E308" s="109">
        <f t="shared" si="3"/>
        <v>3</v>
      </c>
      <c r="F308" s="109"/>
      <c r="G308" s="109">
        <f>J68</f>
        <v>3</v>
      </c>
      <c r="H308" s="109"/>
      <c r="I308" s="28">
        <f>SUMIF(F349:F369,"&gt;0",BA349:BA369)</f>
        <v>0</v>
      </c>
      <c r="J308" s="110"/>
      <c r="K308" s="110"/>
      <c r="L308" s="110"/>
      <c r="M308" s="110"/>
      <c r="N308" s="110"/>
      <c r="O308" s="110"/>
      <c r="P308" s="108"/>
      <c r="Q308" s="108"/>
      <c r="R308" s="108"/>
      <c r="S308" s="108"/>
      <c r="T308" s="108"/>
      <c r="U308" s="108"/>
    </row>
    <row r="309" spans="2:21" s="7" customFormat="1" x14ac:dyDescent="0.25">
      <c r="B309" s="112" t="s">
        <v>133</v>
      </c>
      <c r="C309" s="112"/>
      <c r="D309" s="50" t="s">
        <v>129</v>
      </c>
      <c r="E309" s="109">
        <f t="shared" si="3"/>
        <v>9</v>
      </c>
      <c r="F309" s="109"/>
      <c r="G309" s="109">
        <f>J69</f>
        <v>2</v>
      </c>
      <c r="H309" s="109"/>
      <c r="I309" s="28">
        <f>SUMIF(F349:F369,"&gt;0",BB349:BB369)</f>
        <v>7</v>
      </c>
      <c r="J309" s="110"/>
      <c r="K309" s="110"/>
      <c r="L309" s="110"/>
      <c r="M309" s="110"/>
      <c r="N309" s="110"/>
      <c r="O309" s="110"/>
      <c r="P309" s="108"/>
      <c r="Q309" s="108"/>
      <c r="R309" s="108"/>
      <c r="S309" s="108"/>
      <c r="T309" s="108"/>
      <c r="U309" s="108"/>
    </row>
    <row r="310" spans="2:21" s="7" customFormat="1" x14ac:dyDescent="0.25">
      <c r="B310" s="112" t="s">
        <v>259</v>
      </c>
      <c r="C310" s="112"/>
      <c r="D310" s="50" t="s">
        <v>129</v>
      </c>
      <c r="E310" s="109">
        <f t="shared" si="3"/>
        <v>2</v>
      </c>
      <c r="F310" s="109"/>
      <c r="G310" s="109">
        <f>J69</f>
        <v>2</v>
      </c>
      <c r="H310" s="109"/>
      <c r="I310" s="28">
        <f>SUMIF(F349:F369,"&gt;0",BC349:BC369)</f>
        <v>0</v>
      </c>
      <c r="J310" s="110"/>
      <c r="K310" s="110"/>
      <c r="L310" s="110"/>
      <c r="M310" s="110"/>
      <c r="N310" s="110"/>
      <c r="O310" s="110"/>
      <c r="P310" s="108"/>
      <c r="Q310" s="108"/>
      <c r="R310" s="108"/>
      <c r="S310" s="108"/>
      <c r="T310" s="108"/>
      <c r="U310" s="108"/>
    </row>
    <row r="311" spans="2:21" s="7" customFormat="1" x14ac:dyDescent="0.25">
      <c r="B311" s="112" t="s">
        <v>134</v>
      </c>
      <c r="C311" s="112"/>
      <c r="D311" s="50" t="s">
        <v>110</v>
      </c>
      <c r="E311" s="109">
        <f t="shared" si="3"/>
        <v>3</v>
      </c>
      <c r="F311" s="109"/>
      <c r="G311" s="109">
        <f>J68</f>
        <v>3</v>
      </c>
      <c r="H311" s="109"/>
      <c r="I311" s="28">
        <f>SUMIF(F349:F369,"&gt;0",BD349:BD369)</f>
        <v>0</v>
      </c>
      <c r="J311" s="110"/>
      <c r="K311" s="110"/>
      <c r="L311" s="110"/>
      <c r="M311" s="110"/>
      <c r="N311" s="110"/>
      <c r="O311" s="110"/>
      <c r="P311" s="108"/>
      <c r="Q311" s="108"/>
      <c r="R311" s="108"/>
      <c r="S311" s="108"/>
      <c r="T311" s="108"/>
      <c r="U311" s="108"/>
    </row>
    <row r="312" spans="2:21" s="7" customFormat="1" x14ac:dyDescent="0.25">
      <c r="B312" s="112" t="s">
        <v>135</v>
      </c>
      <c r="C312" s="112"/>
      <c r="D312" s="50" t="s">
        <v>112</v>
      </c>
      <c r="E312" s="109">
        <f t="shared" si="3"/>
        <v>3</v>
      </c>
      <c r="F312" s="109"/>
      <c r="G312" s="109">
        <f>J66</f>
        <v>3</v>
      </c>
      <c r="H312" s="109"/>
      <c r="I312" s="28">
        <f>SUMIF(F349:F369,"&gt;0",BE349:BE369)</f>
        <v>0</v>
      </c>
      <c r="J312" s="109">
        <f>D218</f>
        <v>0</v>
      </c>
      <c r="K312" s="109"/>
      <c r="L312" s="110"/>
      <c r="M312" s="110"/>
      <c r="N312" s="110"/>
      <c r="O312" s="110"/>
      <c r="P312" s="108"/>
      <c r="Q312" s="108"/>
      <c r="R312" s="108"/>
      <c r="S312" s="108"/>
      <c r="T312" s="108"/>
      <c r="U312" s="108"/>
    </row>
    <row r="313" spans="2:21" s="7" customFormat="1" x14ac:dyDescent="0.25">
      <c r="B313" s="112" t="s">
        <v>136</v>
      </c>
      <c r="C313" s="112"/>
      <c r="D313" s="50" t="s">
        <v>112</v>
      </c>
      <c r="E313" s="109">
        <f t="shared" si="3"/>
        <v>3</v>
      </c>
      <c r="F313" s="109"/>
      <c r="G313" s="109">
        <f>J66</f>
        <v>3</v>
      </c>
      <c r="H313" s="109"/>
      <c r="I313" s="28">
        <f>SUMIF(F349:F369,"&gt;0",BF349:BF369)</f>
        <v>0</v>
      </c>
      <c r="J313" s="110"/>
      <c r="K313" s="110"/>
      <c r="L313" s="110"/>
      <c r="M313" s="110"/>
      <c r="N313" s="110"/>
      <c r="O313" s="110"/>
      <c r="P313" s="108"/>
      <c r="Q313" s="108"/>
      <c r="R313" s="108"/>
      <c r="S313" s="108"/>
      <c r="T313" s="108"/>
      <c r="U313" s="108"/>
    </row>
    <row r="314" spans="2:21" s="7" customFormat="1" x14ac:dyDescent="0.25">
      <c r="B314" s="112" t="s">
        <v>137</v>
      </c>
      <c r="C314" s="112"/>
      <c r="D314" s="50" t="s">
        <v>114</v>
      </c>
      <c r="E314" s="109">
        <f t="shared" si="3"/>
        <v>2</v>
      </c>
      <c r="F314" s="109"/>
      <c r="G314" s="109">
        <f>J70</f>
        <v>2</v>
      </c>
      <c r="H314" s="109"/>
      <c r="I314" s="28">
        <f>SUMIF(F349:F369,"&gt;0",BG349:BG369)</f>
        <v>0</v>
      </c>
      <c r="J314" s="110"/>
      <c r="K314" s="110"/>
      <c r="L314" s="110"/>
      <c r="M314" s="110"/>
      <c r="N314" s="110"/>
      <c r="O314" s="110"/>
      <c r="P314" s="108"/>
      <c r="Q314" s="108"/>
      <c r="R314" s="108"/>
      <c r="S314" s="108"/>
      <c r="T314" s="108"/>
      <c r="U314" s="108"/>
    </row>
    <row r="315" spans="2:21" s="7" customFormat="1" x14ac:dyDescent="0.25">
      <c r="B315" s="112" t="s">
        <v>138</v>
      </c>
      <c r="C315" s="112"/>
      <c r="D315" s="50" t="s">
        <v>110</v>
      </c>
      <c r="E315" s="109">
        <f t="shared" si="3"/>
        <v>3</v>
      </c>
      <c r="F315" s="109"/>
      <c r="G315" s="109">
        <f>J68</f>
        <v>3</v>
      </c>
      <c r="H315" s="109"/>
      <c r="I315" s="28">
        <f>SUMIF(F349:F369,"&gt;0",BH349:BH369)</f>
        <v>0</v>
      </c>
      <c r="J315" s="110"/>
      <c r="K315" s="110"/>
      <c r="L315" s="110"/>
      <c r="M315" s="110"/>
      <c r="N315" s="110"/>
      <c r="O315" s="110"/>
      <c r="P315" s="108"/>
      <c r="Q315" s="108"/>
      <c r="R315" s="108"/>
      <c r="S315" s="108"/>
      <c r="T315" s="108"/>
      <c r="U315" s="108"/>
    </row>
    <row r="316" spans="2:21" s="7" customFormat="1" x14ac:dyDescent="0.25">
      <c r="B316" s="190" t="s">
        <v>783</v>
      </c>
      <c r="C316" s="190"/>
      <c r="D316" s="50" t="s">
        <v>129</v>
      </c>
      <c r="E316" s="109">
        <f t="shared" si="3"/>
        <v>2</v>
      </c>
      <c r="F316" s="109"/>
      <c r="G316" s="109">
        <f>J69</f>
        <v>2</v>
      </c>
      <c r="H316" s="109"/>
      <c r="I316" s="28">
        <f>SUMIF(F349:F369,"&gt;0",BI349:BI369)</f>
        <v>0</v>
      </c>
      <c r="J316" s="110"/>
      <c r="K316" s="110"/>
      <c r="L316" s="110"/>
      <c r="M316" s="110"/>
      <c r="N316" s="110"/>
      <c r="O316" s="110"/>
      <c r="P316" s="108"/>
      <c r="Q316" s="108"/>
      <c r="R316" s="108"/>
      <c r="S316" s="108"/>
      <c r="T316" s="108"/>
      <c r="U316" s="108"/>
    </row>
    <row r="317" spans="2:21" s="7" customFormat="1" x14ac:dyDescent="0.25">
      <c r="B317" s="112" t="s">
        <v>140</v>
      </c>
      <c r="C317" s="112"/>
      <c r="D317" s="50" t="s">
        <v>112</v>
      </c>
      <c r="E317" s="109">
        <f t="shared" si="3"/>
        <v>3</v>
      </c>
      <c r="F317" s="109"/>
      <c r="G317" s="109">
        <f>J66</f>
        <v>3</v>
      </c>
      <c r="H317" s="109"/>
      <c r="I317" s="28">
        <f>SUMIF(F349:F369,"&gt;0",BJ349:BJ369)</f>
        <v>0</v>
      </c>
      <c r="J317" s="110"/>
      <c r="K317" s="110"/>
      <c r="L317" s="110"/>
      <c r="M317" s="110"/>
      <c r="N317" s="110"/>
      <c r="O317" s="110"/>
      <c r="P317" s="108"/>
      <c r="Q317" s="108"/>
      <c r="R317" s="108"/>
      <c r="S317" s="108"/>
      <c r="T317" s="108"/>
      <c r="U317" s="108"/>
    </row>
    <row r="318" spans="2:21" s="7" customFormat="1" x14ac:dyDescent="0.25">
      <c r="B318" s="112" t="s">
        <v>141</v>
      </c>
      <c r="C318" s="112"/>
      <c r="D318" s="50" t="s">
        <v>110</v>
      </c>
      <c r="E318" s="109">
        <f t="shared" si="3"/>
        <v>3</v>
      </c>
      <c r="F318" s="109"/>
      <c r="G318" s="109">
        <f>J68</f>
        <v>3</v>
      </c>
      <c r="H318" s="109"/>
      <c r="I318" s="28">
        <f>SUMIF(F349:F369,"&gt;0",BK349:BK369)</f>
        <v>0</v>
      </c>
      <c r="J318" s="110"/>
      <c r="K318" s="110"/>
      <c r="L318" s="110"/>
      <c r="M318" s="110"/>
      <c r="N318" s="110"/>
      <c r="O318" s="110"/>
      <c r="P318" s="108"/>
      <c r="Q318" s="108"/>
      <c r="R318" s="108"/>
      <c r="S318" s="108"/>
      <c r="T318" s="108"/>
      <c r="U318" s="108"/>
    </row>
    <row r="319" spans="2:21" s="7" customFormat="1" x14ac:dyDescent="0.25">
      <c r="B319" s="112" t="s">
        <v>142</v>
      </c>
      <c r="C319" s="112"/>
      <c r="D319" s="50" t="s">
        <v>129</v>
      </c>
      <c r="E319" s="109">
        <f t="shared" si="3"/>
        <v>2</v>
      </c>
      <c r="F319" s="109"/>
      <c r="G319" s="109">
        <f>J69</f>
        <v>2</v>
      </c>
      <c r="H319" s="109"/>
      <c r="I319" s="28">
        <f>SUMIF(F349:F369,"&gt;0",BL349:BL369)</f>
        <v>0</v>
      </c>
      <c r="J319" s="110"/>
      <c r="K319" s="110"/>
      <c r="L319" s="110"/>
      <c r="M319" s="110"/>
      <c r="N319" s="110"/>
      <c r="O319" s="110"/>
      <c r="P319" s="108"/>
      <c r="Q319" s="108"/>
      <c r="R319" s="108"/>
      <c r="S319" s="108"/>
      <c r="T319" s="108"/>
      <c r="U319" s="108"/>
    </row>
    <row r="320" spans="2:21" s="7" customFormat="1" x14ac:dyDescent="0.25">
      <c r="B320" s="112" t="s">
        <v>143</v>
      </c>
      <c r="C320" s="112"/>
      <c r="D320" s="50" t="s">
        <v>112</v>
      </c>
      <c r="E320" s="109">
        <f t="shared" si="3"/>
        <v>3</v>
      </c>
      <c r="F320" s="109"/>
      <c r="G320" s="109">
        <f>J66</f>
        <v>3</v>
      </c>
      <c r="H320" s="109"/>
      <c r="I320" s="28">
        <f>SUMIF(F349:F369,"&gt;0",BM349:BM369)</f>
        <v>0</v>
      </c>
      <c r="J320" s="109">
        <f>D218</f>
        <v>0</v>
      </c>
      <c r="K320" s="109"/>
      <c r="L320" s="110"/>
      <c r="M320" s="110"/>
      <c r="N320" s="110"/>
      <c r="O320" s="110"/>
      <c r="P320" s="108"/>
      <c r="Q320" s="108"/>
      <c r="R320" s="108"/>
      <c r="S320" s="108"/>
      <c r="T320" s="108"/>
      <c r="U320" s="108"/>
    </row>
    <row r="321" spans="2:21" s="7" customFormat="1" x14ac:dyDescent="0.25">
      <c r="B321" s="112" t="s">
        <v>204</v>
      </c>
      <c r="C321" s="112"/>
      <c r="D321" s="50" t="s">
        <v>1</v>
      </c>
      <c r="E321" s="109" t="s">
        <v>1</v>
      </c>
      <c r="F321" s="109"/>
      <c r="G321" s="109" t="s">
        <v>1</v>
      </c>
      <c r="H321" s="109"/>
      <c r="I321" s="28">
        <f>SUMIF(F349:F369,"&gt;0",BN349:BN369)</f>
        <v>0</v>
      </c>
      <c r="J321" s="110" t="s">
        <v>1</v>
      </c>
      <c r="K321" s="110"/>
      <c r="L321" s="110" t="s">
        <v>1</v>
      </c>
      <c r="M321" s="110"/>
      <c r="N321" s="110" t="s">
        <v>1</v>
      </c>
      <c r="O321" s="110"/>
      <c r="P321" s="108"/>
      <c r="Q321" s="108"/>
      <c r="R321" s="108"/>
      <c r="S321" s="108"/>
      <c r="T321" s="108"/>
      <c r="U321" s="108"/>
    </row>
    <row r="322" spans="2:21" s="7" customFormat="1" x14ac:dyDescent="0.25">
      <c r="B322" s="112" t="s">
        <v>144</v>
      </c>
      <c r="C322" s="112"/>
      <c r="D322" s="50" t="s">
        <v>110</v>
      </c>
      <c r="E322" s="109">
        <f t="shared" ref="E322:E331" si="4">(G322+I322+J322+L322+N322+P322+R322+T322)</f>
        <v>3</v>
      </c>
      <c r="F322" s="109"/>
      <c r="G322" s="109">
        <f>$J$68</f>
        <v>3</v>
      </c>
      <c r="H322" s="109"/>
      <c r="I322" s="28">
        <f>SUMIF(F349:F369,"&gt;0",BO349:BO369)</f>
        <v>0</v>
      </c>
      <c r="J322" s="110"/>
      <c r="K322" s="110"/>
      <c r="L322" s="110"/>
      <c r="M322" s="110"/>
      <c r="N322" s="110"/>
      <c r="O322" s="110"/>
      <c r="P322" s="108"/>
      <c r="Q322" s="108"/>
      <c r="R322" s="108"/>
      <c r="S322" s="108"/>
      <c r="T322" s="108"/>
      <c r="U322" s="108"/>
    </row>
    <row r="323" spans="2:21" s="7" customFormat="1" x14ac:dyDescent="0.25">
      <c r="B323" s="112" t="s">
        <v>145</v>
      </c>
      <c r="C323" s="112"/>
      <c r="D323" s="50" t="s">
        <v>129</v>
      </c>
      <c r="E323" s="109">
        <f t="shared" si="4"/>
        <v>7</v>
      </c>
      <c r="F323" s="109"/>
      <c r="G323" s="109">
        <f>J69</f>
        <v>2</v>
      </c>
      <c r="H323" s="109"/>
      <c r="I323" s="28">
        <f>SUMIF(F349:F369,"&gt;0",BP349:BP369)</f>
        <v>5</v>
      </c>
      <c r="J323" s="110"/>
      <c r="K323" s="110"/>
      <c r="L323" s="110"/>
      <c r="M323" s="110"/>
      <c r="N323" s="110"/>
      <c r="O323" s="110"/>
      <c r="P323" s="108"/>
      <c r="Q323" s="108"/>
      <c r="R323" s="108"/>
      <c r="S323" s="108"/>
      <c r="T323" s="108"/>
      <c r="U323" s="108"/>
    </row>
    <row r="324" spans="2:21" s="7" customFormat="1" x14ac:dyDescent="0.25">
      <c r="B324" s="112" t="s">
        <v>271</v>
      </c>
      <c r="C324" s="112"/>
      <c r="D324" s="50" t="s">
        <v>110</v>
      </c>
      <c r="E324" s="109">
        <f t="shared" si="4"/>
        <v>3</v>
      </c>
      <c r="F324" s="109"/>
      <c r="G324" s="109">
        <f>J68</f>
        <v>3</v>
      </c>
      <c r="H324" s="109"/>
      <c r="I324" s="28">
        <f>SUMIF(F349:F369,"&gt;0",BQ349:BQ369)</f>
        <v>0</v>
      </c>
      <c r="J324" s="110"/>
      <c r="K324" s="110"/>
      <c r="L324" s="110"/>
      <c r="M324" s="110"/>
      <c r="N324" s="110"/>
      <c r="O324" s="110"/>
      <c r="P324" s="108"/>
      <c r="Q324" s="108"/>
      <c r="R324" s="108"/>
      <c r="S324" s="108"/>
      <c r="T324" s="108"/>
      <c r="U324" s="108"/>
    </row>
    <row r="325" spans="2:21" s="7" customFormat="1" x14ac:dyDescent="0.25">
      <c r="B325" s="112" t="s">
        <v>146</v>
      </c>
      <c r="C325" s="112"/>
      <c r="D325" s="50" t="s">
        <v>129</v>
      </c>
      <c r="E325" s="109">
        <f t="shared" si="4"/>
        <v>9</v>
      </c>
      <c r="F325" s="109"/>
      <c r="G325" s="109">
        <f>J69</f>
        <v>2</v>
      </c>
      <c r="H325" s="109"/>
      <c r="I325" s="28">
        <f>SUMIF(F349:F369,"&gt;0",BR349:BR369)</f>
        <v>7</v>
      </c>
      <c r="J325" s="110"/>
      <c r="K325" s="110"/>
      <c r="L325" s="110"/>
      <c r="M325" s="110"/>
      <c r="N325" s="110"/>
      <c r="O325" s="110"/>
      <c r="P325" s="108"/>
      <c r="Q325" s="108"/>
      <c r="R325" s="108"/>
      <c r="S325" s="108"/>
      <c r="T325" s="108"/>
      <c r="U325" s="108"/>
    </row>
    <row r="326" spans="2:21" s="7" customFormat="1" x14ac:dyDescent="0.25">
      <c r="B326" s="112" t="s">
        <v>147</v>
      </c>
      <c r="C326" s="112"/>
      <c r="D326" s="50" t="s">
        <v>116</v>
      </c>
      <c r="E326" s="109">
        <f t="shared" si="4"/>
        <v>6</v>
      </c>
      <c r="F326" s="109"/>
      <c r="G326" s="109">
        <f>J65</f>
        <v>6</v>
      </c>
      <c r="H326" s="109"/>
      <c r="I326" s="28">
        <f>SUMIF(F349:F369,"&gt;0",BS349:BS369)</f>
        <v>0</v>
      </c>
      <c r="J326" s="109">
        <f>D218*2</f>
        <v>0</v>
      </c>
      <c r="K326" s="109"/>
      <c r="L326" s="110"/>
      <c r="M326" s="110"/>
      <c r="N326" s="110"/>
      <c r="O326" s="110"/>
      <c r="P326" s="108"/>
      <c r="Q326" s="108"/>
      <c r="R326" s="108"/>
      <c r="S326" s="108"/>
      <c r="T326" s="108"/>
      <c r="U326" s="108"/>
    </row>
    <row r="327" spans="2:21" s="7" customFormat="1" x14ac:dyDescent="0.25">
      <c r="B327" s="112" t="s">
        <v>203</v>
      </c>
      <c r="C327" s="112"/>
      <c r="D327" s="50" t="s">
        <v>110</v>
      </c>
      <c r="E327" s="109">
        <f t="shared" si="4"/>
        <v>3</v>
      </c>
      <c r="F327" s="109"/>
      <c r="G327" s="109">
        <f>J68</f>
        <v>3</v>
      </c>
      <c r="H327" s="109"/>
      <c r="I327" s="28">
        <f>SUMIF(F349:F369,"&gt;0",BT349:BT369)</f>
        <v>0</v>
      </c>
      <c r="J327" s="110"/>
      <c r="K327" s="110"/>
      <c r="L327" s="110"/>
      <c r="M327" s="110"/>
      <c r="N327" s="110"/>
      <c r="O327" s="110"/>
      <c r="P327" s="108"/>
      <c r="Q327" s="108"/>
      <c r="R327" s="108"/>
      <c r="S327" s="108"/>
      <c r="T327" s="108"/>
      <c r="U327" s="108"/>
    </row>
    <row r="328" spans="2:21" s="7" customFormat="1" x14ac:dyDescent="0.25">
      <c r="B328" s="112" t="s">
        <v>148</v>
      </c>
      <c r="C328" s="112"/>
      <c r="D328" s="50" t="s">
        <v>112</v>
      </c>
      <c r="E328" s="109">
        <f t="shared" si="4"/>
        <v>3</v>
      </c>
      <c r="F328" s="109"/>
      <c r="G328" s="109">
        <f>J66</f>
        <v>3</v>
      </c>
      <c r="H328" s="109"/>
      <c r="I328" s="28">
        <f>SUMIF(F349:F369,"&gt;0",BU349:BU369)</f>
        <v>0</v>
      </c>
      <c r="J328" s="109">
        <f>D218</f>
        <v>0</v>
      </c>
      <c r="K328" s="109"/>
      <c r="L328" s="110"/>
      <c r="M328" s="110"/>
      <c r="N328" s="110"/>
      <c r="O328" s="110"/>
      <c r="P328" s="108"/>
      <c r="Q328" s="108"/>
      <c r="R328" s="108"/>
      <c r="S328" s="108"/>
      <c r="T328" s="108"/>
      <c r="U328" s="108"/>
    </row>
    <row r="329" spans="2:21" s="7" customFormat="1" x14ac:dyDescent="0.25">
      <c r="B329" s="112" t="s">
        <v>149</v>
      </c>
      <c r="C329" s="112"/>
      <c r="D329" s="50" t="s">
        <v>114</v>
      </c>
      <c r="E329" s="109">
        <f t="shared" si="4"/>
        <v>2</v>
      </c>
      <c r="F329" s="109"/>
      <c r="G329" s="109">
        <f>J70</f>
        <v>2</v>
      </c>
      <c r="H329" s="109"/>
      <c r="I329" s="28">
        <f>SUMIF(F349:F369,"&gt;0",BV349:BV369)</f>
        <v>0</v>
      </c>
      <c r="J329" s="110"/>
      <c r="K329" s="110"/>
      <c r="L329" s="110"/>
      <c r="M329" s="110"/>
      <c r="N329" s="110"/>
      <c r="O329" s="110"/>
      <c r="P329" s="108"/>
      <c r="Q329" s="108"/>
      <c r="R329" s="108"/>
      <c r="S329" s="108"/>
      <c r="T329" s="108"/>
      <c r="U329" s="108"/>
    </row>
    <row r="330" spans="2:21" s="7" customFormat="1" x14ac:dyDescent="0.25">
      <c r="B330" s="112" t="s">
        <v>150</v>
      </c>
      <c r="C330" s="112"/>
      <c r="D330" s="50" t="s">
        <v>114</v>
      </c>
      <c r="E330" s="109">
        <f t="shared" si="4"/>
        <v>2</v>
      </c>
      <c r="F330" s="109"/>
      <c r="G330" s="109">
        <f>J70</f>
        <v>2</v>
      </c>
      <c r="H330" s="109"/>
      <c r="I330" s="28">
        <f>SUMIF(F349:F369,"&gt;0",BW349:BW369)</f>
        <v>0</v>
      </c>
      <c r="J330" s="110"/>
      <c r="K330" s="110"/>
      <c r="L330" s="110"/>
      <c r="M330" s="110"/>
      <c r="N330" s="110"/>
      <c r="O330" s="110"/>
      <c r="P330" s="108"/>
      <c r="Q330" s="108"/>
      <c r="R330" s="108"/>
      <c r="S330" s="108"/>
      <c r="T330" s="108"/>
      <c r="U330" s="108"/>
    </row>
    <row r="331" spans="2:21" s="7" customFormat="1" x14ac:dyDescent="0.25">
      <c r="B331" s="112" t="s">
        <v>151</v>
      </c>
      <c r="C331" s="112"/>
      <c r="D331" s="50" t="s">
        <v>112</v>
      </c>
      <c r="E331" s="109">
        <f t="shared" si="4"/>
        <v>3</v>
      </c>
      <c r="F331" s="109"/>
      <c r="G331" s="109">
        <f>J66</f>
        <v>3</v>
      </c>
      <c r="H331" s="109"/>
      <c r="I331" s="28">
        <f>SUMIF(F349:F369,"&gt;0",BX349:BX369)</f>
        <v>0</v>
      </c>
      <c r="J331" s="110"/>
      <c r="K331" s="110"/>
      <c r="L331" s="110"/>
      <c r="M331" s="110"/>
      <c r="N331" s="110"/>
      <c r="O331" s="110"/>
      <c r="P331" s="108"/>
      <c r="Q331" s="108"/>
      <c r="R331" s="108"/>
      <c r="S331" s="108"/>
      <c r="T331" s="108"/>
      <c r="U331" s="108"/>
    </row>
    <row r="332" spans="2:21" s="7" customFormat="1" x14ac:dyDescent="0.25"/>
    <row r="333" spans="2:21" s="7" customFormat="1" x14ac:dyDescent="0.25">
      <c r="B333" s="7" t="s">
        <v>152</v>
      </c>
    </row>
    <row r="334" spans="2:21" s="7" customFormat="1" x14ac:dyDescent="0.25">
      <c r="B334" s="44" t="s">
        <v>153</v>
      </c>
      <c r="C334" s="97" t="s">
        <v>270</v>
      </c>
      <c r="D334" s="98"/>
    </row>
    <row r="335" spans="2:21" s="7" customFormat="1" x14ac:dyDescent="0.25">
      <c r="B335" s="44" t="s">
        <v>153</v>
      </c>
      <c r="C335" s="97" t="s">
        <v>908</v>
      </c>
      <c r="D335" s="98"/>
    </row>
    <row r="336" spans="2:21" s="7" customFormat="1" x14ac:dyDescent="0.25">
      <c r="B336" s="44" t="s">
        <v>153</v>
      </c>
      <c r="C336" s="97" t="s">
        <v>909</v>
      </c>
      <c r="D336" s="98"/>
    </row>
    <row r="337" spans="2:76" s="7" customFormat="1" x14ac:dyDescent="0.25">
      <c r="B337" s="44" t="s">
        <v>153</v>
      </c>
      <c r="C337" s="97"/>
      <c r="D337" s="98"/>
    </row>
    <row r="338" spans="2:76" s="7" customFormat="1" x14ac:dyDescent="0.25">
      <c r="B338" s="66" t="s">
        <v>153</v>
      </c>
      <c r="C338" s="97"/>
      <c r="D338" s="98"/>
    </row>
    <row r="339" spans="2:76" s="7" customFormat="1" x14ac:dyDescent="0.25">
      <c r="B339" s="66" t="s">
        <v>153</v>
      </c>
      <c r="C339" s="97"/>
      <c r="D339" s="98"/>
    </row>
    <row r="340" spans="2:76" s="7" customFormat="1" x14ac:dyDescent="0.25">
      <c r="B340" s="66" t="s">
        <v>153</v>
      </c>
      <c r="C340" s="97"/>
      <c r="D340" s="98"/>
    </row>
    <row r="341" spans="2:76" s="7" customFormat="1" x14ac:dyDescent="0.25">
      <c r="B341" s="66" t="s">
        <v>153</v>
      </c>
      <c r="C341" s="97"/>
      <c r="D341" s="98"/>
    </row>
    <row r="342" spans="2:76" s="7" customFormat="1" x14ac:dyDescent="0.25">
      <c r="B342" s="66" t="s">
        <v>153</v>
      </c>
      <c r="C342" s="97"/>
      <c r="D342" s="98"/>
    </row>
    <row r="343" spans="2:76" s="7" customFormat="1" x14ac:dyDescent="0.25">
      <c r="B343" s="44" t="s">
        <v>153</v>
      </c>
      <c r="C343" s="97"/>
      <c r="D343" s="98"/>
    </row>
    <row r="344" spans="2:76" s="7" customFormat="1" x14ac:dyDescent="0.25"/>
    <row r="345" spans="2:76" s="11" customFormat="1" ht="28.5" x14ac:dyDescent="0.45">
      <c r="B345" s="23" t="s">
        <v>154</v>
      </c>
    </row>
    <row r="346" spans="2:76" s="7" customFormat="1" x14ac:dyDescent="0.25"/>
    <row r="347" spans="2:76" s="7" customFormat="1" x14ac:dyDescent="0.25">
      <c r="B347" s="7" t="s">
        <v>252</v>
      </c>
    </row>
    <row r="348" spans="2:76" s="7" customFormat="1" x14ac:dyDescent="0.25">
      <c r="B348" s="41" t="s">
        <v>173</v>
      </c>
      <c r="C348" s="94" t="s">
        <v>780</v>
      </c>
      <c r="D348" s="96"/>
      <c r="E348" s="41" t="s">
        <v>188</v>
      </c>
      <c r="F348" s="43" t="s">
        <v>189</v>
      </c>
      <c r="G348" s="43" t="s">
        <v>260</v>
      </c>
      <c r="H348" s="93" t="s">
        <v>191</v>
      </c>
      <c r="I348" s="93"/>
      <c r="J348" s="93"/>
      <c r="K348" s="93"/>
      <c r="L348" s="93"/>
      <c r="M348" s="93"/>
      <c r="N348" s="93"/>
      <c r="O348" s="93" t="s">
        <v>190</v>
      </c>
      <c r="P348" s="93"/>
      <c r="Q348" s="93"/>
      <c r="R348" s="41" t="s">
        <v>266</v>
      </c>
      <c r="S348" s="41" t="s">
        <v>267</v>
      </c>
      <c r="T348" s="64" t="s">
        <v>268</v>
      </c>
      <c r="U348" s="69" t="s">
        <v>784</v>
      </c>
      <c r="V348" s="72" t="s">
        <v>109</v>
      </c>
      <c r="W348" s="72" t="s">
        <v>201</v>
      </c>
      <c r="X348" s="72" t="s">
        <v>111</v>
      </c>
      <c r="Y348" s="72" t="s">
        <v>113</v>
      </c>
      <c r="Z348" s="72" t="s">
        <v>115</v>
      </c>
      <c r="AA348" s="72" t="s">
        <v>117</v>
      </c>
      <c r="AB348" s="72" t="s">
        <v>217</v>
      </c>
      <c r="AC348" s="72" t="s">
        <v>119</v>
      </c>
      <c r="AD348" s="72" t="s">
        <v>120</v>
      </c>
      <c r="AE348" s="72" t="s">
        <v>121</v>
      </c>
      <c r="AF348" s="72" t="s">
        <v>122</v>
      </c>
      <c r="AG348" s="72" t="s">
        <v>123</v>
      </c>
      <c r="AH348" s="72" t="s">
        <v>124</v>
      </c>
      <c r="AI348" s="72" t="s">
        <v>125</v>
      </c>
      <c r="AJ348" s="72" t="s">
        <v>126</v>
      </c>
      <c r="AK348" s="72" t="s">
        <v>127</v>
      </c>
      <c r="AL348" s="72" t="s">
        <v>128</v>
      </c>
      <c r="AM348" s="72" t="s">
        <v>130</v>
      </c>
      <c r="AN348" s="72" t="s">
        <v>205</v>
      </c>
      <c r="AO348" s="72" t="s">
        <v>131</v>
      </c>
      <c r="AP348" s="72" t="s">
        <v>132</v>
      </c>
      <c r="AQ348" s="72" t="s">
        <v>179</v>
      </c>
      <c r="AR348" s="72" t="s">
        <v>178</v>
      </c>
      <c r="AS348" s="72" t="s">
        <v>180</v>
      </c>
      <c r="AT348" s="72" t="s">
        <v>181</v>
      </c>
      <c r="AU348" s="72" t="s">
        <v>182</v>
      </c>
      <c r="AV348" s="72" t="s">
        <v>183</v>
      </c>
      <c r="AW348" s="72" t="s">
        <v>184</v>
      </c>
      <c r="AX348" s="72" t="s">
        <v>185</v>
      </c>
      <c r="AY348" s="72" t="s">
        <v>186</v>
      </c>
      <c r="AZ348" s="72" t="s">
        <v>187</v>
      </c>
      <c r="BA348" s="72" t="s">
        <v>202</v>
      </c>
      <c r="BB348" s="72" t="s">
        <v>133</v>
      </c>
      <c r="BC348" s="72" t="s">
        <v>259</v>
      </c>
      <c r="BD348" s="72" t="s">
        <v>134</v>
      </c>
      <c r="BE348" s="72" t="s">
        <v>135</v>
      </c>
      <c r="BF348" s="72" t="s">
        <v>136</v>
      </c>
      <c r="BG348" s="72" t="s">
        <v>137</v>
      </c>
      <c r="BH348" s="72" t="s">
        <v>138</v>
      </c>
      <c r="BI348" s="72" t="s">
        <v>139</v>
      </c>
      <c r="BJ348" s="72" t="s">
        <v>140</v>
      </c>
      <c r="BK348" s="72" t="s">
        <v>141</v>
      </c>
      <c r="BL348" s="72" t="s">
        <v>142</v>
      </c>
      <c r="BM348" s="72" t="s">
        <v>143</v>
      </c>
      <c r="BN348" s="72" t="s">
        <v>204</v>
      </c>
      <c r="BO348" s="72" t="s">
        <v>144</v>
      </c>
      <c r="BP348" s="72" t="s">
        <v>145</v>
      </c>
      <c r="BQ348" s="72" t="s">
        <v>271</v>
      </c>
      <c r="BR348" s="72" t="s">
        <v>146</v>
      </c>
      <c r="BS348" s="72" t="s">
        <v>147</v>
      </c>
      <c r="BT348" s="72" t="s">
        <v>203</v>
      </c>
      <c r="BU348" s="72" t="s">
        <v>148</v>
      </c>
      <c r="BV348" s="72" t="s">
        <v>149</v>
      </c>
      <c r="BW348" s="72" t="s">
        <v>150</v>
      </c>
      <c r="BX348" s="72" t="s">
        <v>151</v>
      </c>
    </row>
    <row r="349" spans="2:76" s="7" customFormat="1" ht="15" customHeight="1" x14ac:dyDescent="0.25">
      <c r="B349" s="21" t="s">
        <v>781</v>
      </c>
      <c r="C349" s="90" t="s">
        <v>799</v>
      </c>
      <c r="D349" s="92"/>
      <c r="E349" s="36" t="s">
        <v>800</v>
      </c>
      <c r="F349" s="19">
        <f>12+$J$67</f>
        <v>19</v>
      </c>
      <c r="G349" s="20">
        <v>1</v>
      </c>
      <c r="H349" s="89"/>
      <c r="I349" s="89"/>
      <c r="J349" s="89"/>
      <c r="K349" s="89"/>
      <c r="L349" s="89"/>
      <c r="M349" s="89"/>
      <c r="N349" s="89"/>
      <c r="O349" s="89" t="s">
        <v>828</v>
      </c>
      <c r="P349" s="89"/>
      <c r="Q349" s="89"/>
      <c r="R349" s="20">
        <v>2.5</v>
      </c>
      <c r="S349" s="20">
        <v>0.34</v>
      </c>
      <c r="T349" s="191">
        <v>0.34</v>
      </c>
      <c r="U349" s="73">
        <f>SUM(V349:BX349)</f>
        <v>28</v>
      </c>
      <c r="V349" s="73"/>
      <c r="W349" s="68"/>
      <c r="X349" s="68"/>
      <c r="Y349" s="68"/>
      <c r="Z349" s="68"/>
      <c r="AA349" s="68"/>
      <c r="AB349" s="68"/>
      <c r="AC349" s="68"/>
      <c r="AD349" s="68"/>
      <c r="AE349" s="68"/>
      <c r="AF349" s="68"/>
      <c r="AG349" s="68"/>
      <c r="AH349" s="68"/>
      <c r="AI349" s="68"/>
      <c r="AJ349" s="68"/>
      <c r="AK349" s="68"/>
      <c r="AL349" s="68"/>
      <c r="AM349" s="68">
        <v>4</v>
      </c>
      <c r="AN349" s="68"/>
      <c r="AO349" s="68">
        <v>4</v>
      </c>
      <c r="AP349" s="68"/>
      <c r="AQ349" s="68">
        <v>2</v>
      </c>
      <c r="AR349" s="68"/>
      <c r="AS349" s="68">
        <v>2</v>
      </c>
      <c r="AT349" s="68"/>
      <c r="AU349" s="68"/>
      <c r="AV349" s="68">
        <v>2</v>
      </c>
      <c r="AW349" s="68">
        <v>2</v>
      </c>
      <c r="AX349" s="73"/>
      <c r="AY349" s="73">
        <v>2</v>
      </c>
      <c r="AZ349" s="73"/>
      <c r="BA349" s="73"/>
      <c r="BB349" s="73">
        <v>4</v>
      </c>
      <c r="BC349" s="73"/>
      <c r="BD349" s="73"/>
      <c r="BE349" s="73"/>
      <c r="BF349" s="73"/>
      <c r="BG349" s="73"/>
      <c r="BH349" s="73"/>
      <c r="BI349" s="73"/>
      <c r="BJ349" s="73"/>
      <c r="BK349" s="73"/>
      <c r="BL349" s="73"/>
      <c r="BM349" s="73"/>
      <c r="BN349" s="73"/>
      <c r="BO349" s="73"/>
      <c r="BP349" s="73">
        <v>2</v>
      </c>
      <c r="BQ349" s="73"/>
      <c r="BR349" s="73">
        <v>4</v>
      </c>
      <c r="BS349" s="73"/>
      <c r="BT349" s="73"/>
      <c r="BU349" s="73"/>
      <c r="BV349" s="73"/>
      <c r="BW349" s="73"/>
      <c r="BX349" s="73"/>
    </row>
    <row r="350" spans="2:76" s="7" customFormat="1" ht="15" customHeight="1" x14ac:dyDescent="0.25">
      <c r="B350" s="36">
        <v>2</v>
      </c>
      <c r="C350" s="90" t="s">
        <v>801</v>
      </c>
      <c r="D350" s="92"/>
      <c r="E350" s="36" t="s">
        <v>802</v>
      </c>
      <c r="F350" s="19">
        <f>7+$J$67</f>
        <v>14</v>
      </c>
      <c r="G350" s="20">
        <v>0.75</v>
      </c>
      <c r="H350" s="89"/>
      <c r="I350" s="89"/>
      <c r="J350" s="89"/>
      <c r="K350" s="89"/>
      <c r="L350" s="89"/>
      <c r="M350" s="89"/>
      <c r="N350" s="89"/>
      <c r="O350" s="89"/>
      <c r="P350" s="89"/>
      <c r="Q350" s="89"/>
      <c r="R350" s="20">
        <v>2.5</v>
      </c>
      <c r="S350" s="20">
        <v>2.5</v>
      </c>
      <c r="T350" s="191">
        <v>0.34</v>
      </c>
      <c r="U350" s="73">
        <f t="shared" ref="U350:U369" si="5">SUM(V350:BX350)</f>
        <v>7</v>
      </c>
      <c r="V350" s="73"/>
      <c r="W350" s="68"/>
      <c r="X350" s="68"/>
      <c r="Y350" s="68"/>
      <c r="Z350" s="68"/>
      <c r="AA350" s="68"/>
      <c r="AB350" s="68"/>
      <c r="AC350" s="68"/>
      <c r="AD350" s="68"/>
      <c r="AE350" s="68"/>
      <c r="AF350" s="68"/>
      <c r="AG350" s="68"/>
      <c r="AH350" s="68"/>
      <c r="AI350" s="68"/>
      <c r="AJ350" s="68"/>
      <c r="AK350" s="68"/>
      <c r="AL350" s="68"/>
      <c r="AM350" s="68">
        <v>1</v>
      </c>
      <c r="AN350" s="68"/>
      <c r="AO350" s="68">
        <v>1</v>
      </c>
      <c r="AP350" s="68"/>
      <c r="AQ350" s="68">
        <v>1</v>
      </c>
      <c r="AR350" s="68"/>
      <c r="AS350" s="68">
        <v>1</v>
      </c>
      <c r="AT350" s="68"/>
      <c r="AU350" s="68"/>
      <c r="AV350" s="68"/>
      <c r="AW350" s="68"/>
      <c r="AX350" s="73"/>
      <c r="AY350" s="73"/>
      <c r="AZ350" s="73"/>
      <c r="BA350" s="73"/>
      <c r="BB350" s="73">
        <v>1</v>
      </c>
      <c r="BC350" s="73"/>
      <c r="BD350" s="73"/>
      <c r="BE350" s="73"/>
      <c r="BF350" s="73"/>
      <c r="BG350" s="73"/>
      <c r="BH350" s="73"/>
      <c r="BI350" s="73"/>
      <c r="BJ350" s="73"/>
      <c r="BK350" s="73"/>
      <c r="BL350" s="73"/>
      <c r="BM350" s="73"/>
      <c r="BN350" s="73"/>
      <c r="BO350" s="73"/>
      <c r="BP350" s="73">
        <v>1</v>
      </c>
      <c r="BQ350" s="73"/>
      <c r="BR350" s="73">
        <v>1</v>
      </c>
      <c r="BS350" s="73"/>
      <c r="BT350" s="73"/>
      <c r="BU350" s="73"/>
      <c r="BV350" s="73"/>
      <c r="BW350" s="73"/>
      <c r="BX350" s="73"/>
    </row>
    <row r="351" spans="2:76" s="7" customFormat="1" ht="15" customHeight="1" x14ac:dyDescent="0.25">
      <c r="B351" s="36">
        <v>3</v>
      </c>
      <c r="C351" s="90" t="s">
        <v>801</v>
      </c>
      <c r="D351" s="92"/>
      <c r="E351" s="36" t="s">
        <v>802</v>
      </c>
      <c r="F351" s="19">
        <f>7+$J$67</f>
        <v>14</v>
      </c>
      <c r="G351" s="20">
        <v>0.75</v>
      </c>
      <c r="H351" s="89"/>
      <c r="I351" s="89"/>
      <c r="J351" s="89"/>
      <c r="K351" s="89"/>
      <c r="L351" s="89"/>
      <c r="M351" s="89"/>
      <c r="N351" s="89"/>
      <c r="O351" s="89" t="s">
        <v>833</v>
      </c>
      <c r="P351" s="89"/>
      <c r="Q351" s="89"/>
      <c r="R351" s="20">
        <v>0.5</v>
      </c>
      <c r="S351" s="20">
        <v>0.5</v>
      </c>
      <c r="T351" s="191">
        <v>0.34</v>
      </c>
      <c r="U351" s="73">
        <f t="shared" si="5"/>
        <v>7</v>
      </c>
      <c r="V351" s="73"/>
      <c r="W351" s="68"/>
      <c r="X351" s="68"/>
      <c r="Y351" s="68"/>
      <c r="Z351" s="68"/>
      <c r="AA351" s="68"/>
      <c r="AB351" s="68"/>
      <c r="AC351" s="68"/>
      <c r="AD351" s="68"/>
      <c r="AE351" s="68"/>
      <c r="AF351" s="68"/>
      <c r="AG351" s="68"/>
      <c r="AH351" s="68"/>
      <c r="AI351" s="68"/>
      <c r="AJ351" s="68"/>
      <c r="AK351" s="68"/>
      <c r="AL351" s="68"/>
      <c r="AM351" s="68">
        <v>1</v>
      </c>
      <c r="AN351" s="68"/>
      <c r="AO351" s="68">
        <v>1</v>
      </c>
      <c r="AP351" s="68"/>
      <c r="AQ351" s="68"/>
      <c r="AR351" s="68"/>
      <c r="AS351" s="68"/>
      <c r="AT351" s="68"/>
      <c r="AU351" s="68"/>
      <c r="AV351" s="68">
        <v>1</v>
      </c>
      <c r="AW351" s="68">
        <v>1</v>
      </c>
      <c r="AX351" s="73"/>
      <c r="AY351" s="73"/>
      <c r="AZ351" s="73"/>
      <c r="BA351" s="73"/>
      <c r="BB351" s="73">
        <v>1</v>
      </c>
      <c r="BC351" s="73"/>
      <c r="BD351" s="73"/>
      <c r="BE351" s="73"/>
      <c r="BF351" s="73"/>
      <c r="BG351" s="73"/>
      <c r="BH351" s="73"/>
      <c r="BI351" s="73"/>
      <c r="BJ351" s="73"/>
      <c r="BK351" s="73"/>
      <c r="BL351" s="73"/>
      <c r="BM351" s="73"/>
      <c r="BN351" s="73"/>
      <c r="BO351" s="73"/>
      <c r="BP351" s="73">
        <v>1</v>
      </c>
      <c r="BQ351" s="73"/>
      <c r="BR351" s="73">
        <v>1</v>
      </c>
      <c r="BS351" s="73"/>
      <c r="BT351" s="73"/>
      <c r="BU351" s="73"/>
      <c r="BV351" s="73"/>
      <c r="BW351" s="73"/>
      <c r="BX351" s="73"/>
    </row>
    <row r="352" spans="2:76" s="7" customFormat="1" ht="15" customHeight="1" x14ac:dyDescent="0.25">
      <c r="B352" s="36">
        <v>4</v>
      </c>
      <c r="C352" s="90" t="s">
        <v>801</v>
      </c>
      <c r="D352" s="92"/>
      <c r="E352" s="36" t="s">
        <v>802</v>
      </c>
      <c r="F352" s="19">
        <f>5+$J$67</f>
        <v>12</v>
      </c>
      <c r="G352" s="20">
        <v>0.75</v>
      </c>
      <c r="H352" s="89"/>
      <c r="I352" s="89"/>
      <c r="J352" s="89"/>
      <c r="K352" s="89"/>
      <c r="L352" s="89"/>
      <c r="M352" s="89"/>
      <c r="N352" s="89"/>
      <c r="O352" s="89"/>
      <c r="P352" s="89"/>
      <c r="Q352" s="89"/>
      <c r="R352" s="20">
        <v>0.5</v>
      </c>
      <c r="S352" s="20">
        <v>0.5</v>
      </c>
      <c r="T352" s="191">
        <v>0.34</v>
      </c>
      <c r="U352" s="73">
        <f t="shared" si="5"/>
        <v>7</v>
      </c>
      <c r="V352" s="73"/>
      <c r="W352" s="68"/>
      <c r="X352" s="68"/>
      <c r="Y352" s="68"/>
      <c r="Z352" s="68"/>
      <c r="AA352" s="68"/>
      <c r="AB352" s="68"/>
      <c r="AC352" s="68"/>
      <c r="AD352" s="68"/>
      <c r="AE352" s="68"/>
      <c r="AF352" s="68"/>
      <c r="AG352" s="68"/>
      <c r="AH352" s="68"/>
      <c r="AI352" s="68"/>
      <c r="AJ352" s="68"/>
      <c r="AK352" s="68"/>
      <c r="AL352" s="68"/>
      <c r="AM352" s="68">
        <v>1</v>
      </c>
      <c r="AN352" s="68"/>
      <c r="AO352" s="68">
        <v>1</v>
      </c>
      <c r="AP352" s="68"/>
      <c r="AQ352" s="68">
        <v>1</v>
      </c>
      <c r="AR352" s="68"/>
      <c r="AS352" s="68">
        <v>1</v>
      </c>
      <c r="AT352" s="68"/>
      <c r="AU352" s="68"/>
      <c r="AV352" s="68"/>
      <c r="AW352" s="68"/>
      <c r="AX352" s="73"/>
      <c r="AY352" s="73"/>
      <c r="AZ352" s="73"/>
      <c r="BA352" s="73"/>
      <c r="BB352" s="73">
        <v>1</v>
      </c>
      <c r="BC352" s="73"/>
      <c r="BD352" s="73"/>
      <c r="BE352" s="73"/>
      <c r="BF352" s="73"/>
      <c r="BG352" s="73"/>
      <c r="BH352" s="73"/>
      <c r="BI352" s="73"/>
      <c r="BJ352" s="73"/>
      <c r="BK352" s="73"/>
      <c r="BL352" s="73"/>
      <c r="BM352" s="73"/>
      <c r="BN352" s="73"/>
      <c r="BO352" s="73"/>
      <c r="BP352" s="73">
        <v>1</v>
      </c>
      <c r="BQ352" s="73"/>
      <c r="BR352" s="73">
        <v>1</v>
      </c>
      <c r="BS352" s="73"/>
      <c r="BT352" s="73"/>
      <c r="BU352" s="73"/>
      <c r="BV352" s="73"/>
      <c r="BW352" s="73"/>
      <c r="BX352" s="73"/>
    </row>
    <row r="353" spans="2:76" s="7" customFormat="1" ht="15" customHeight="1" x14ac:dyDescent="0.25">
      <c r="B353" s="36">
        <v>5</v>
      </c>
      <c r="C353" s="90"/>
      <c r="D353" s="92"/>
      <c r="E353" s="36"/>
      <c r="F353" s="19"/>
      <c r="G353" s="20"/>
      <c r="H353" s="89"/>
      <c r="I353" s="89"/>
      <c r="J353" s="89"/>
      <c r="K353" s="89"/>
      <c r="L353" s="89"/>
      <c r="M353" s="89"/>
      <c r="N353" s="89"/>
      <c r="O353" s="89"/>
      <c r="P353" s="89"/>
      <c r="Q353" s="89"/>
      <c r="R353" s="20"/>
      <c r="S353" s="20"/>
      <c r="T353" s="191"/>
      <c r="U353" s="73">
        <f t="shared" si="5"/>
        <v>0</v>
      </c>
      <c r="V353" s="73"/>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73"/>
      <c r="AY353" s="73"/>
      <c r="AZ353" s="73"/>
      <c r="BA353" s="73"/>
      <c r="BB353" s="73"/>
      <c r="BC353" s="73"/>
      <c r="BD353" s="73"/>
      <c r="BE353" s="73"/>
      <c r="BF353" s="73"/>
      <c r="BG353" s="73"/>
      <c r="BH353" s="73"/>
      <c r="BI353" s="73"/>
      <c r="BJ353" s="73"/>
      <c r="BK353" s="73"/>
      <c r="BL353" s="73"/>
      <c r="BM353" s="73"/>
      <c r="BN353" s="73"/>
      <c r="BO353" s="73"/>
      <c r="BP353" s="73"/>
      <c r="BQ353" s="73"/>
      <c r="BR353" s="73"/>
      <c r="BS353" s="73"/>
      <c r="BT353" s="73"/>
      <c r="BU353" s="73"/>
      <c r="BV353" s="73"/>
      <c r="BW353" s="73"/>
      <c r="BX353" s="73"/>
    </row>
    <row r="354" spans="2:76" s="7" customFormat="1" ht="15" customHeight="1" x14ac:dyDescent="0.25">
      <c r="B354" s="36">
        <v>6</v>
      </c>
      <c r="C354" s="90"/>
      <c r="D354" s="92"/>
      <c r="E354" s="36"/>
      <c r="F354" s="19"/>
      <c r="G354" s="20"/>
      <c r="H354" s="89"/>
      <c r="I354" s="89"/>
      <c r="J354" s="89"/>
      <c r="K354" s="89"/>
      <c r="L354" s="89"/>
      <c r="M354" s="89"/>
      <c r="N354" s="89"/>
      <c r="O354" s="89"/>
      <c r="P354" s="89"/>
      <c r="Q354" s="89"/>
      <c r="R354" s="20"/>
      <c r="S354" s="20"/>
      <c r="T354" s="191"/>
      <c r="U354" s="73">
        <f t="shared" si="5"/>
        <v>0</v>
      </c>
      <c r="V354" s="73"/>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73"/>
      <c r="AY354" s="73"/>
      <c r="AZ354" s="73"/>
      <c r="BA354" s="73"/>
      <c r="BB354" s="73"/>
      <c r="BC354" s="73"/>
      <c r="BD354" s="73"/>
      <c r="BE354" s="73"/>
      <c r="BF354" s="73"/>
      <c r="BG354" s="73"/>
      <c r="BH354" s="73"/>
      <c r="BI354" s="73"/>
      <c r="BJ354" s="73"/>
      <c r="BK354" s="73"/>
      <c r="BL354" s="73"/>
      <c r="BM354" s="73"/>
      <c r="BN354" s="73"/>
      <c r="BO354" s="73"/>
      <c r="BP354" s="73"/>
      <c r="BQ354" s="73"/>
      <c r="BR354" s="73"/>
      <c r="BS354" s="73"/>
      <c r="BT354" s="73"/>
      <c r="BU354" s="73"/>
      <c r="BV354" s="73"/>
      <c r="BW354" s="73"/>
      <c r="BX354" s="73"/>
    </row>
    <row r="355" spans="2:76" s="7" customFormat="1" ht="15" customHeight="1" x14ac:dyDescent="0.25">
      <c r="B355" s="36">
        <v>7</v>
      </c>
      <c r="C355" s="90"/>
      <c r="D355" s="92"/>
      <c r="E355" s="36"/>
      <c r="F355" s="19"/>
      <c r="G355" s="20"/>
      <c r="H355" s="89"/>
      <c r="I355" s="89"/>
      <c r="J355" s="89"/>
      <c r="K355" s="89"/>
      <c r="L355" s="89"/>
      <c r="M355" s="89"/>
      <c r="N355" s="89"/>
      <c r="O355" s="89"/>
      <c r="P355" s="89"/>
      <c r="Q355" s="89"/>
      <c r="R355" s="20"/>
      <c r="S355" s="20"/>
      <c r="T355" s="191"/>
      <c r="U355" s="73">
        <f t="shared" si="5"/>
        <v>0</v>
      </c>
      <c r="V355" s="73"/>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73"/>
      <c r="AY355" s="73"/>
      <c r="AZ355" s="73"/>
      <c r="BA355" s="73"/>
      <c r="BB355" s="73"/>
      <c r="BC355" s="73"/>
      <c r="BD355" s="73"/>
      <c r="BE355" s="73"/>
      <c r="BF355" s="73"/>
      <c r="BG355" s="73"/>
      <c r="BH355" s="73"/>
      <c r="BI355" s="73"/>
      <c r="BJ355" s="73"/>
      <c r="BK355" s="73"/>
      <c r="BL355" s="73"/>
      <c r="BM355" s="73"/>
      <c r="BN355" s="73"/>
      <c r="BO355" s="73"/>
      <c r="BP355" s="73"/>
      <c r="BQ355" s="73"/>
      <c r="BR355" s="73"/>
      <c r="BS355" s="73"/>
      <c r="BT355" s="73"/>
      <c r="BU355" s="73"/>
      <c r="BV355" s="73"/>
      <c r="BW355" s="73"/>
      <c r="BX355" s="73"/>
    </row>
    <row r="356" spans="2:76" s="7" customFormat="1" ht="15" customHeight="1" x14ac:dyDescent="0.25">
      <c r="B356" s="36">
        <v>8</v>
      </c>
      <c r="C356" s="90"/>
      <c r="D356" s="92"/>
      <c r="E356" s="36"/>
      <c r="F356" s="19"/>
      <c r="G356" s="20"/>
      <c r="H356" s="89"/>
      <c r="I356" s="89"/>
      <c r="J356" s="89"/>
      <c r="K356" s="89"/>
      <c r="L356" s="89"/>
      <c r="M356" s="89"/>
      <c r="N356" s="89"/>
      <c r="O356" s="89"/>
      <c r="P356" s="89"/>
      <c r="Q356" s="89"/>
      <c r="R356" s="20"/>
      <c r="S356" s="20"/>
      <c r="T356" s="191"/>
      <c r="U356" s="73">
        <f t="shared" si="5"/>
        <v>0</v>
      </c>
      <c r="V356" s="73"/>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73"/>
      <c r="AY356" s="73"/>
      <c r="AZ356" s="73"/>
      <c r="BA356" s="73"/>
      <c r="BB356" s="73"/>
      <c r="BC356" s="73"/>
      <c r="BD356" s="73"/>
      <c r="BE356" s="73"/>
      <c r="BF356" s="73"/>
      <c r="BG356" s="73"/>
      <c r="BH356" s="73"/>
      <c r="BI356" s="73"/>
      <c r="BJ356" s="73"/>
      <c r="BK356" s="73"/>
      <c r="BL356" s="73"/>
      <c r="BM356" s="73"/>
      <c r="BN356" s="73"/>
      <c r="BO356" s="73"/>
      <c r="BP356" s="73"/>
      <c r="BQ356" s="73"/>
      <c r="BR356" s="73"/>
      <c r="BS356" s="73"/>
      <c r="BT356" s="73"/>
      <c r="BU356" s="73"/>
      <c r="BV356" s="73"/>
      <c r="BW356" s="73"/>
      <c r="BX356" s="73"/>
    </row>
    <row r="357" spans="2:76" s="7" customFormat="1" ht="15" customHeight="1" x14ac:dyDescent="0.25">
      <c r="B357" s="36">
        <v>9</v>
      </c>
      <c r="C357" s="90"/>
      <c r="D357" s="92"/>
      <c r="E357" s="36"/>
      <c r="F357" s="19"/>
      <c r="G357" s="20"/>
      <c r="H357" s="89"/>
      <c r="I357" s="89"/>
      <c r="J357" s="89"/>
      <c r="K357" s="89"/>
      <c r="L357" s="89"/>
      <c r="M357" s="89"/>
      <c r="N357" s="89"/>
      <c r="O357" s="89"/>
      <c r="P357" s="89"/>
      <c r="Q357" s="89"/>
      <c r="R357" s="20"/>
      <c r="S357" s="20"/>
      <c r="T357" s="191"/>
      <c r="U357" s="73">
        <f t="shared" si="5"/>
        <v>0</v>
      </c>
      <c r="V357" s="73"/>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73"/>
      <c r="AY357" s="73"/>
      <c r="AZ357" s="73"/>
      <c r="BA357" s="73"/>
      <c r="BB357" s="73"/>
      <c r="BC357" s="73"/>
      <c r="BD357" s="73"/>
      <c r="BE357" s="73"/>
      <c r="BF357" s="73"/>
      <c r="BG357" s="73"/>
      <c r="BH357" s="73"/>
      <c r="BI357" s="73"/>
      <c r="BJ357" s="73"/>
      <c r="BK357" s="73"/>
      <c r="BL357" s="73"/>
      <c r="BM357" s="73"/>
      <c r="BN357" s="73"/>
      <c r="BO357" s="73"/>
      <c r="BP357" s="73"/>
      <c r="BQ357" s="73"/>
      <c r="BR357" s="73"/>
      <c r="BS357" s="73"/>
      <c r="BT357" s="73"/>
      <c r="BU357" s="73"/>
      <c r="BV357" s="73"/>
      <c r="BW357" s="73"/>
      <c r="BX357" s="73"/>
    </row>
    <row r="358" spans="2:76" s="7" customFormat="1" ht="15" customHeight="1" x14ac:dyDescent="0.25">
      <c r="B358" s="36">
        <v>10</v>
      </c>
      <c r="C358" s="90"/>
      <c r="D358" s="92"/>
      <c r="E358" s="36"/>
      <c r="F358" s="19"/>
      <c r="G358" s="20"/>
      <c r="H358" s="89"/>
      <c r="I358" s="89"/>
      <c r="J358" s="89"/>
      <c r="K358" s="89"/>
      <c r="L358" s="89"/>
      <c r="M358" s="89"/>
      <c r="N358" s="89"/>
      <c r="O358" s="89"/>
      <c r="P358" s="89"/>
      <c r="Q358" s="89"/>
      <c r="R358" s="20"/>
      <c r="S358" s="20"/>
      <c r="T358" s="191"/>
      <c r="U358" s="73">
        <f t="shared" si="5"/>
        <v>0</v>
      </c>
      <c r="V358" s="73"/>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73"/>
      <c r="AY358" s="73"/>
      <c r="AZ358" s="73"/>
      <c r="BA358" s="73"/>
      <c r="BB358" s="73"/>
      <c r="BC358" s="73"/>
      <c r="BD358" s="73"/>
      <c r="BE358" s="73"/>
      <c r="BF358" s="73"/>
      <c r="BG358" s="73"/>
      <c r="BH358" s="73"/>
      <c r="BI358" s="73"/>
      <c r="BJ358" s="73"/>
      <c r="BK358" s="73"/>
      <c r="BL358" s="73"/>
      <c r="BM358" s="73"/>
      <c r="BN358" s="73"/>
      <c r="BO358" s="73"/>
      <c r="BP358" s="73"/>
      <c r="BQ358" s="73"/>
      <c r="BR358" s="73"/>
      <c r="BS358" s="73"/>
      <c r="BT358" s="73"/>
      <c r="BU358" s="73"/>
      <c r="BV358" s="73"/>
      <c r="BW358" s="73"/>
      <c r="BX358" s="73"/>
    </row>
    <row r="359" spans="2:76" s="7" customFormat="1" ht="15" customHeight="1" x14ac:dyDescent="0.25">
      <c r="B359" s="36">
        <v>11</v>
      </c>
      <c r="C359" s="90"/>
      <c r="D359" s="92"/>
      <c r="E359" s="36"/>
      <c r="F359" s="19"/>
      <c r="G359" s="20"/>
      <c r="H359" s="89"/>
      <c r="I359" s="89"/>
      <c r="J359" s="89"/>
      <c r="K359" s="89"/>
      <c r="L359" s="89"/>
      <c r="M359" s="89"/>
      <c r="N359" s="89"/>
      <c r="O359" s="89"/>
      <c r="P359" s="89"/>
      <c r="Q359" s="89"/>
      <c r="R359" s="20"/>
      <c r="S359" s="20"/>
      <c r="T359" s="191"/>
      <c r="U359" s="73">
        <f t="shared" si="5"/>
        <v>0</v>
      </c>
      <c r="V359" s="73"/>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73"/>
      <c r="AY359" s="73"/>
      <c r="AZ359" s="73"/>
      <c r="BA359" s="73"/>
      <c r="BB359" s="73"/>
      <c r="BC359" s="73"/>
      <c r="BD359" s="73"/>
      <c r="BE359" s="73"/>
      <c r="BF359" s="73"/>
      <c r="BG359" s="73"/>
      <c r="BH359" s="73"/>
      <c r="BI359" s="73"/>
      <c r="BJ359" s="73"/>
      <c r="BK359" s="73"/>
      <c r="BL359" s="73"/>
      <c r="BM359" s="73"/>
      <c r="BN359" s="73"/>
      <c r="BO359" s="73"/>
      <c r="BP359" s="73"/>
      <c r="BQ359" s="73"/>
      <c r="BR359" s="73"/>
      <c r="BS359" s="73"/>
      <c r="BT359" s="73"/>
      <c r="BU359" s="73"/>
      <c r="BV359" s="73"/>
      <c r="BW359" s="73"/>
      <c r="BX359" s="73"/>
    </row>
    <row r="360" spans="2:76" s="7" customFormat="1" ht="15" customHeight="1" x14ac:dyDescent="0.25">
      <c r="B360" s="36">
        <v>12</v>
      </c>
      <c r="C360" s="90"/>
      <c r="D360" s="92"/>
      <c r="E360" s="36"/>
      <c r="F360" s="19"/>
      <c r="G360" s="20"/>
      <c r="H360" s="89"/>
      <c r="I360" s="89"/>
      <c r="J360" s="89"/>
      <c r="K360" s="89"/>
      <c r="L360" s="89"/>
      <c r="M360" s="89"/>
      <c r="N360" s="89"/>
      <c r="O360" s="89"/>
      <c r="P360" s="89"/>
      <c r="Q360" s="89"/>
      <c r="R360" s="20"/>
      <c r="S360" s="20"/>
      <c r="T360" s="191"/>
      <c r="U360" s="73">
        <f t="shared" si="5"/>
        <v>0</v>
      </c>
      <c r="V360" s="73"/>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73"/>
      <c r="AY360" s="73"/>
      <c r="AZ360" s="73"/>
      <c r="BA360" s="73"/>
      <c r="BB360" s="73"/>
      <c r="BC360" s="73"/>
      <c r="BD360" s="73"/>
      <c r="BE360" s="73"/>
      <c r="BF360" s="73"/>
      <c r="BG360" s="73"/>
      <c r="BH360" s="73"/>
      <c r="BI360" s="73"/>
      <c r="BJ360" s="73"/>
      <c r="BK360" s="73"/>
      <c r="BL360" s="73"/>
      <c r="BM360" s="73"/>
      <c r="BN360" s="73"/>
      <c r="BO360" s="73"/>
      <c r="BP360" s="73"/>
      <c r="BQ360" s="73"/>
      <c r="BR360" s="73"/>
      <c r="BS360" s="73"/>
      <c r="BT360" s="73"/>
      <c r="BU360" s="73"/>
      <c r="BV360" s="73"/>
      <c r="BW360" s="73"/>
      <c r="BX360" s="73"/>
    </row>
    <row r="361" spans="2:76" s="7" customFormat="1" x14ac:dyDescent="0.25">
      <c r="B361" s="36">
        <v>13</v>
      </c>
      <c r="C361" s="90"/>
      <c r="D361" s="92"/>
      <c r="E361" s="36"/>
      <c r="F361" s="22"/>
      <c r="G361" s="20"/>
      <c r="H361" s="89"/>
      <c r="I361" s="89"/>
      <c r="J361" s="89"/>
      <c r="K361" s="89"/>
      <c r="L361" s="89"/>
      <c r="M361" s="89"/>
      <c r="N361" s="89"/>
      <c r="O361" s="89"/>
      <c r="P361" s="89"/>
      <c r="Q361" s="89"/>
      <c r="R361" s="20"/>
      <c r="S361" s="20"/>
      <c r="T361" s="191"/>
      <c r="U361" s="73">
        <f t="shared" si="5"/>
        <v>0</v>
      </c>
      <c r="V361" s="73"/>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73"/>
      <c r="AY361" s="73"/>
      <c r="AZ361" s="73"/>
      <c r="BA361" s="73"/>
      <c r="BB361" s="73"/>
      <c r="BC361" s="73"/>
      <c r="BD361" s="73"/>
      <c r="BE361" s="73"/>
      <c r="BF361" s="73"/>
      <c r="BG361" s="73"/>
      <c r="BH361" s="73"/>
      <c r="BI361" s="73"/>
      <c r="BJ361" s="73"/>
      <c r="BK361" s="73"/>
      <c r="BL361" s="73"/>
      <c r="BM361" s="73"/>
      <c r="BN361" s="73"/>
      <c r="BO361" s="73"/>
      <c r="BP361" s="73"/>
      <c r="BQ361" s="73"/>
      <c r="BR361" s="73"/>
      <c r="BS361" s="73"/>
      <c r="BT361" s="73"/>
      <c r="BU361" s="73"/>
      <c r="BV361" s="73"/>
      <c r="BW361" s="73"/>
      <c r="BX361" s="73"/>
    </row>
    <row r="362" spans="2:76" s="7" customFormat="1" x14ac:dyDescent="0.25">
      <c r="B362" s="36">
        <v>14</v>
      </c>
      <c r="C362" s="90"/>
      <c r="D362" s="92"/>
      <c r="E362" s="36"/>
      <c r="F362" s="22"/>
      <c r="G362" s="20"/>
      <c r="H362" s="89"/>
      <c r="I362" s="89"/>
      <c r="J362" s="89"/>
      <c r="K362" s="89"/>
      <c r="L362" s="89"/>
      <c r="M362" s="89"/>
      <c r="N362" s="89"/>
      <c r="O362" s="89"/>
      <c r="P362" s="89"/>
      <c r="Q362" s="89"/>
      <c r="R362" s="20"/>
      <c r="S362" s="20"/>
      <c r="T362" s="191"/>
      <c r="U362" s="73">
        <f t="shared" si="5"/>
        <v>0</v>
      </c>
      <c r="V362" s="73"/>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73"/>
      <c r="AY362" s="73"/>
      <c r="AZ362" s="73"/>
      <c r="BA362" s="73"/>
      <c r="BB362" s="73"/>
      <c r="BC362" s="73"/>
      <c r="BD362" s="73"/>
      <c r="BE362" s="73"/>
      <c r="BF362" s="73"/>
      <c r="BG362" s="73"/>
      <c r="BH362" s="73"/>
      <c r="BI362" s="73"/>
      <c r="BJ362" s="73"/>
      <c r="BK362" s="73"/>
      <c r="BL362" s="73"/>
      <c r="BM362" s="73"/>
      <c r="BN362" s="73"/>
      <c r="BO362" s="73"/>
      <c r="BP362" s="73"/>
      <c r="BQ362" s="73"/>
      <c r="BR362" s="73"/>
      <c r="BS362" s="73"/>
      <c r="BT362" s="73"/>
      <c r="BU362" s="73"/>
      <c r="BV362" s="73"/>
      <c r="BW362" s="73"/>
      <c r="BX362" s="73"/>
    </row>
    <row r="363" spans="2:76" s="7" customFormat="1" x14ac:dyDescent="0.25">
      <c r="B363" s="36">
        <v>15</v>
      </c>
      <c r="C363" s="90"/>
      <c r="D363" s="92"/>
      <c r="E363" s="36"/>
      <c r="F363" s="22"/>
      <c r="G363" s="20"/>
      <c r="H363" s="89"/>
      <c r="I363" s="89"/>
      <c r="J363" s="89"/>
      <c r="K363" s="89"/>
      <c r="L363" s="89"/>
      <c r="M363" s="89"/>
      <c r="N363" s="89"/>
      <c r="O363" s="89"/>
      <c r="P363" s="89"/>
      <c r="Q363" s="89"/>
      <c r="R363" s="20"/>
      <c r="S363" s="20"/>
      <c r="T363" s="191"/>
      <c r="U363" s="73">
        <f t="shared" si="5"/>
        <v>0</v>
      </c>
      <c r="V363" s="73"/>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73"/>
      <c r="AY363" s="73"/>
      <c r="AZ363" s="73"/>
      <c r="BA363" s="73"/>
      <c r="BB363" s="73"/>
      <c r="BC363" s="73"/>
      <c r="BD363" s="73"/>
      <c r="BE363" s="73"/>
      <c r="BF363" s="73"/>
      <c r="BG363" s="73"/>
      <c r="BH363" s="73"/>
      <c r="BI363" s="73"/>
      <c r="BJ363" s="73"/>
      <c r="BK363" s="73"/>
      <c r="BL363" s="73"/>
      <c r="BM363" s="73"/>
      <c r="BN363" s="73"/>
      <c r="BO363" s="73"/>
      <c r="BP363" s="73"/>
      <c r="BQ363" s="73"/>
      <c r="BR363" s="73"/>
      <c r="BS363" s="73"/>
      <c r="BT363" s="73"/>
      <c r="BU363" s="73"/>
      <c r="BV363" s="73"/>
      <c r="BW363" s="73"/>
      <c r="BX363" s="73"/>
    </row>
    <row r="364" spans="2:76" s="7" customFormat="1" x14ac:dyDescent="0.25">
      <c r="B364" s="36">
        <v>16</v>
      </c>
      <c r="C364" s="90"/>
      <c r="D364" s="92"/>
      <c r="E364" s="36"/>
      <c r="F364" s="22"/>
      <c r="G364" s="20"/>
      <c r="H364" s="89"/>
      <c r="I364" s="89"/>
      <c r="J364" s="89"/>
      <c r="K364" s="89"/>
      <c r="L364" s="89"/>
      <c r="M364" s="89"/>
      <c r="N364" s="89"/>
      <c r="O364" s="89"/>
      <c r="P364" s="89"/>
      <c r="Q364" s="89"/>
      <c r="R364" s="20"/>
      <c r="S364" s="20"/>
      <c r="T364" s="191"/>
      <c r="U364" s="73">
        <f t="shared" si="5"/>
        <v>0</v>
      </c>
      <c r="V364" s="73"/>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73"/>
      <c r="AY364" s="73"/>
      <c r="AZ364" s="73"/>
      <c r="BA364" s="73"/>
      <c r="BB364" s="73"/>
      <c r="BC364" s="73"/>
      <c r="BD364" s="73"/>
      <c r="BE364" s="73"/>
      <c r="BF364" s="73"/>
      <c r="BG364" s="73"/>
      <c r="BH364" s="73"/>
      <c r="BI364" s="73"/>
      <c r="BJ364" s="73"/>
      <c r="BK364" s="73"/>
      <c r="BL364" s="73"/>
      <c r="BM364" s="73"/>
      <c r="BN364" s="73"/>
      <c r="BO364" s="73"/>
      <c r="BP364" s="73"/>
      <c r="BQ364" s="73"/>
      <c r="BR364" s="73"/>
      <c r="BS364" s="73"/>
      <c r="BT364" s="73"/>
      <c r="BU364" s="73"/>
      <c r="BV364" s="73"/>
      <c r="BW364" s="73"/>
      <c r="BX364" s="73"/>
    </row>
    <row r="365" spans="2:76" s="7" customFormat="1" x14ac:dyDescent="0.25">
      <c r="B365" s="36">
        <v>17</v>
      </c>
      <c r="C365" s="90"/>
      <c r="D365" s="92"/>
      <c r="E365" s="36"/>
      <c r="F365" s="22"/>
      <c r="G365" s="20"/>
      <c r="H365" s="89"/>
      <c r="I365" s="89"/>
      <c r="J365" s="89"/>
      <c r="K365" s="89"/>
      <c r="L365" s="89"/>
      <c r="M365" s="89"/>
      <c r="N365" s="89"/>
      <c r="O365" s="89"/>
      <c r="P365" s="89"/>
      <c r="Q365" s="89"/>
      <c r="R365" s="20"/>
      <c r="S365" s="20"/>
      <c r="T365" s="191"/>
      <c r="U365" s="73">
        <f t="shared" si="5"/>
        <v>0</v>
      </c>
      <c r="V365" s="73"/>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73"/>
      <c r="AY365" s="73"/>
      <c r="AZ365" s="73"/>
      <c r="BA365" s="73"/>
      <c r="BB365" s="73"/>
      <c r="BC365" s="73"/>
      <c r="BD365" s="73"/>
      <c r="BE365" s="73"/>
      <c r="BF365" s="73"/>
      <c r="BG365" s="73"/>
      <c r="BH365" s="73"/>
      <c r="BI365" s="73"/>
      <c r="BJ365" s="73"/>
      <c r="BK365" s="73"/>
      <c r="BL365" s="73"/>
      <c r="BM365" s="73"/>
      <c r="BN365" s="73"/>
      <c r="BO365" s="73"/>
      <c r="BP365" s="73"/>
      <c r="BQ365" s="73"/>
      <c r="BR365" s="73"/>
      <c r="BS365" s="73"/>
      <c r="BT365" s="73"/>
      <c r="BU365" s="73"/>
      <c r="BV365" s="73"/>
      <c r="BW365" s="73"/>
      <c r="BX365" s="73"/>
    </row>
    <row r="366" spans="2:76" s="7" customFormat="1" x14ac:dyDescent="0.25">
      <c r="B366" s="36">
        <v>18</v>
      </c>
      <c r="C366" s="90"/>
      <c r="D366" s="92"/>
      <c r="E366" s="36"/>
      <c r="F366" s="22"/>
      <c r="G366" s="20"/>
      <c r="H366" s="89"/>
      <c r="I366" s="89"/>
      <c r="J366" s="89"/>
      <c r="K366" s="89"/>
      <c r="L366" s="89"/>
      <c r="M366" s="89"/>
      <c r="N366" s="89"/>
      <c r="O366" s="89"/>
      <c r="P366" s="89"/>
      <c r="Q366" s="89"/>
      <c r="R366" s="20"/>
      <c r="S366" s="20"/>
      <c r="T366" s="191"/>
      <c r="U366" s="73">
        <f t="shared" si="5"/>
        <v>0</v>
      </c>
      <c r="V366" s="73"/>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73"/>
      <c r="AY366" s="73"/>
      <c r="AZ366" s="73"/>
      <c r="BA366" s="73"/>
      <c r="BB366" s="73"/>
      <c r="BC366" s="73"/>
      <c r="BD366" s="73"/>
      <c r="BE366" s="73"/>
      <c r="BF366" s="73"/>
      <c r="BG366" s="73"/>
      <c r="BH366" s="73"/>
      <c r="BI366" s="73"/>
      <c r="BJ366" s="73"/>
      <c r="BK366" s="73"/>
      <c r="BL366" s="73"/>
      <c r="BM366" s="73"/>
      <c r="BN366" s="73"/>
      <c r="BO366" s="73"/>
      <c r="BP366" s="73"/>
      <c r="BQ366" s="73"/>
      <c r="BR366" s="73"/>
      <c r="BS366" s="73"/>
      <c r="BT366" s="73"/>
      <c r="BU366" s="73"/>
      <c r="BV366" s="73"/>
      <c r="BW366" s="73"/>
      <c r="BX366" s="73"/>
    </row>
    <row r="367" spans="2:76" s="7" customFormat="1" x14ac:dyDescent="0.25">
      <c r="B367" s="36">
        <v>19</v>
      </c>
      <c r="C367" s="90"/>
      <c r="D367" s="92"/>
      <c r="E367" s="36"/>
      <c r="F367" s="22"/>
      <c r="G367" s="20"/>
      <c r="H367" s="89"/>
      <c r="I367" s="89"/>
      <c r="J367" s="89"/>
      <c r="K367" s="89"/>
      <c r="L367" s="89"/>
      <c r="M367" s="89"/>
      <c r="N367" s="89"/>
      <c r="O367" s="89"/>
      <c r="P367" s="89"/>
      <c r="Q367" s="89"/>
      <c r="R367" s="20"/>
      <c r="S367" s="20"/>
      <c r="T367" s="191"/>
      <c r="U367" s="73">
        <f t="shared" si="5"/>
        <v>0</v>
      </c>
      <c r="V367" s="73"/>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73"/>
      <c r="AY367" s="73"/>
      <c r="AZ367" s="73"/>
      <c r="BA367" s="73"/>
      <c r="BB367" s="73"/>
      <c r="BC367" s="73"/>
      <c r="BD367" s="73"/>
      <c r="BE367" s="73"/>
      <c r="BF367" s="73"/>
      <c r="BG367" s="73"/>
      <c r="BH367" s="73"/>
      <c r="BI367" s="73"/>
      <c r="BJ367" s="73"/>
      <c r="BK367" s="73"/>
      <c r="BL367" s="73"/>
      <c r="BM367" s="73"/>
      <c r="BN367" s="73"/>
      <c r="BO367" s="73"/>
      <c r="BP367" s="73"/>
      <c r="BQ367" s="73"/>
      <c r="BR367" s="73"/>
      <c r="BS367" s="73"/>
      <c r="BT367" s="73"/>
      <c r="BU367" s="73"/>
      <c r="BV367" s="73"/>
      <c r="BW367" s="73"/>
      <c r="BX367" s="73"/>
    </row>
    <row r="368" spans="2:76" s="7" customFormat="1" x14ac:dyDescent="0.25">
      <c r="B368" s="36">
        <v>20</v>
      </c>
      <c r="C368" s="90"/>
      <c r="D368" s="92"/>
      <c r="E368" s="36"/>
      <c r="F368" s="19"/>
      <c r="G368" s="20"/>
      <c r="H368" s="89"/>
      <c r="I368" s="89"/>
      <c r="J368" s="89"/>
      <c r="K368" s="89"/>
      <c r="L368" s="89"/>
      <c r="M368" s="89"/>
      <c r="N368" s="89"/>
      <c r="O368" s="89"/>
      <c r="P368" s="89"/>
      <c r="Q368" s="89"/>
      <c r="R368" s="20"/>
      <c r="S368" s="20"/>
      <c r="T368" s="191"/>
      <c r="U368" s="73">
        <f t="shared" si="5"/>
        <v>0</v>
      </c>
      <c r="V368" s="73"/>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73"/>
      <c r="AY368" s="73"/>
      <c r="AZ368" s="73"/>
      <c r="BA368" s="73"/>
      <c r="BB368" s="73"/>
      <c r="BC368" s="73"/>
      <c r="BD368" s="73"/>
      <c r="BE368" s="73"/>
      <c r="BF368" s="73"/>
      <c r="BG368" s="73"/>
      <c r="BH368" s="73"/>
      <c r="BI368" s="73"/>
      <c r="BJ368" s="73"/>
      <c r="BK368" s="73"/>
      <c r="BL368" s="73"/>
      <c r="BM368" s="73"/>
      <c r="BN368" s="73"/>
      <c r="BO368" s="73"/>
      <c r="BP368" s="73"/>
      <c r="BQ368" s="73"/>
      <c r="BR368" s="73"/>
      <c r="BS368" s="73"/>
      <c r="BT368" s="73"/>
      <c r="BU368" s="73"/>
      <c r="BV368" s="73"/>
      <c r="BW368" s="73"/>
      <c r="BX368" s="73"/>
    </row>
    <row r="369" spans="2:76" s="7" customFormat="1" x14ac:dyDescent="0.25">
      <c r="B369" s="36">
        <v>21</v>
      </c>
      <c r="C369" s="90"/>
      <c r="D369" s="92"/>
      <c r="E369" s="36"/>
      <c r="F369" s="22"/>
      <c r="G369" s="20"/>
      <c r="H369" s="89"/>
      <c r="I369" s="89"/>
      <c r="J369" s="89"/>
      <c r="K369" s="89"/>
      <c r="L369" s="89"/>
      <c r="M369" s="89"/>
      <c r="N369" s="89"/>
      <c r="O369" s="89"/>
      <c r="P369" s="89"/>
      <c r="Q369" s="89"/>
      <c r="R369" s="20"/>
      <c r="S369" s="20"/>
      <c r="T369" s="191"/>
      <c r="U369" s="73">
        <f t="shared" si="5"/>
        <v>0</v>
      </c>
      <c r="V369" s="73"/>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73"/>
      <c r="AY369" s="73"/>
      <c r="AZ369" s="73"/>
      <c r="BA369" s="73"/>
      <c r="BB369" s="73"/>
      <c r="BC369" s="73"/>
      <c r="BD369" s="73"/>
      <c r="BE369" s="73"/>
      <c r="BF369" s="73"/>
      <c r="BG369" s="73"/>
      <c r="BH369" s="73"/>
      <c r="BI369" s="73"/>
      <c r="BJ369" s="73"/>
      <c r="BK369" s="73"/>
      <c r="BL369" s="73"/>
      <c r="BM369" s="73"/>
      <c r="BN369" s="73"/>
      <c r="BO369" s="73"/>
      <c r="BP369" s="73"/>
      <c r="BQ369" s="73"/>
      <c r="BR369" s="73"/>
      <c r="BS369" s="73"/>
      <c r="BT369" s="73"/>
      <c r="BU369" s="73"/>
      <c r="BV369" s="73"/>
      <c r="BW369" s="73"/>
      <c r="BX369" s="73"/>
    </row>
    <row r="370" spans="2:76" s="7" customFormat="1" x14ac:dyDescent="0.25">
      <c r="B370" s="7" t="s">
        <v>253</v>
      </c>
    </row>
    <row r="371" spans="2:76" s="7" customFormat="1" x14ac:dyDescent="0.25"/>
    <row r="372" spans="2:76" s="11" customFormat="1" ht="28.5" x14ac:dyDescent="0.45">
      <c r="B372" s="23" t="s">
        <v>155</v>
      </c>
    </row>
    <row r="373" spans="2:76" s="7" customFormat="1" x14ac:dyDescent="0.25"/>
    <row r="374" spans="2:76" s="7" customFormat="1" x14ac:dyDescent="0.25">
      <c r="B374" s="85" t="s">
        <v>156</v>
      </c>
      <c r="C374" s="85"/>
      <c r="D374" s="85"/>
      <c r="E374" s="44" t="s">
        <v>157</v>
      </c>
      <c r="F374" s="44" t="s">
        <v>158</v>
      </c>
    </row>
    <row r="375" spans="2:76" s="7" customFormat="1" x14ac:dyDescent="0.25">
      <c r="B375" s="112"/>
      <c r="C375" s="112"/>
      <c r="D375" s="112"/>
      <c r="E375" s="37"/>
      <c r="F375" s="37"/>
    </row>
    <row r="376" spans="2:76" s="7" customFormat="1" x14ac:dyDescent="0.25">
      <c r="B376" s="112"/>
      <c r="C376" s="112"/>
      <c r="D376" s="112"/>
      <c r="E376" s="37"/>
      <c r="F376" s="37"/>
    </row>
    <row r="377" spans="2:76" s="7" customFormat="1" x14ac:dyDescent="0.25"/>
    <row r="378" spans="2:76" s="11" customFormat="1" ht="28.5" x14ac:dyDescent="0.45">
      <c r="B378" s="23" t="s">
        <v>793</v>
      </c>
    </row>
    <row r="379" spans="2:76" s="7" customFormat="1" x14ac:dyDescent="0.25"/>
    <row r="380" spans="2:76" x14ac:dyDescent="0.25">
      <c r="B380" s="85" t="s">
        <v>159</v>
      </c>
      <c r="C380" s="85"/>
      <c r="D380" s="70"/>
    </row>
    <row r="381" spans="2:76" x14ac:dyDescent="0.25">
      <c r="B381" s="85" t="s">
        <v>171</v>
      </c>
      <c r="C381" s="85"/>
      <c r="D381" s="70"/>
    </row>
    <row r="383" spans="2:76" x14ac:dyDescent="0.25">
      <c r="B383" s="7" t="s">
        <v>160</v>
      </c>
      <c r="D383" s="52" t="b">
        <f>IF(D381="Int",$J$68,IF(D381="Wis",$J$69,IF(D381="Cha",$J$70)))</f>
        <v>0</v>
      </c>
    </row>
    <row r="384" spans="2:76" x14ac:dyDescent="0.25">
      <c r="B384" s="41" t="s">
        <v>161</v>
      </c>
      <c r="C384" s="41" t="s">
        <v>162</v>
      </c>
      <c r="D384" s="41" t="s">
        <v>163</v>
      </c>
      <c r="E384" s="41" t="s">
        <v>164</v>
      </c>
      <c r="F384" s="41" t="s">
        <v>165</v>
      </c>
      <c r="G384" s="41" t="s">
        <v>166</v>
      </c>
      <c r="H384" s="41" t="s">
        <v>167</v>
      </c>
      <c r="I384" s="41" t="s">
        <v>168</v>
      </c>
      <c r="J384" s="41" t="s">
        <v>169</v>
      </c>
      <c r="K384" s="41" t="s">
        <v>170</v>
      </c>
    </row>
    <row r="385" spans="2:11" x14ac:dyDescent="0.25">
      <c r="B385" s="24">
        <f>(10+0+D383)</f>
        <v>10</v>
      </c>
      <c r="C385" s="24">
        <f>(10+1+D383)</f>
        <v>11</v>
      </c>
      <c r="D385" s="24">
        <f>(10+2+D383)</f>
        <v>12</v>
      </c>
      <c r="E385" s="24">
        <f>(10+3+D383)</f>
        <v>13</v>
      </c>
      <c r="F385" s="24">
        <f>(10+4+D383)</f>
        <v>14</v>
      </c>
      <c r="G385" s="24">
        <f>(10+5+D383)</f>
        <v>15</v>
      </c>
      <c r="H385" s="24">
        <f>10+6+D383</f>
        <v>16</v>
      </c>
      <c r="I385" s="24">
        <f>(10+7+D383)</f>
        <v>17</v>
      </c>
      <c r="J385" s="24">
        <f>(10+8+D383)</f>
        <v>18</v>
      </c>
      <c r="K385" s="24">
        <f>(10+9+D383)</f>
        <v>19</v>
      </c>
    </row>
    <row r="387" spans="2:11" x14ac:dyDescent="0.25">
      <c r="B387" s="7" t="s">
        <v>172</v>
      </c>
    </row>
    <row r="388" spans="2:11" x14ac:dyDescent="0.25">
      <c r="B388" s="74" t="s">
        <v>173</v>
      </c>
      <c r="C388" s="74" t="s">
        <v>68</v>
      </c>
      <c r="D388" s="74" t="s">
        <v>789</v>
      </c>
      <c r="E388" s="74" t="s">
        <v>790</v>
      </c>
      <c r="F388" s="74" t="s">
        <v>174</v>
      </c>
    </row>
    <row r="389" spans="2:11" x14ac:dyDescent="0.25">
      <c r="B389" s="2"/>
      <c r="C389" s="2"/>
      <c r="D389" s="2"/>
      <c r="E389" s="2"/>
      <c r="F389" s="2"/>
    </row>
    <row r="390" spans="2:11" x14ac:dyDescent="0.25">
      <c r="B390" s="2"/>
      <c r="C390" s="2"/>
      <c r="D390" s="2"/>
      <c r="E390" s="2"/>
      <c r="F390" s="2"/>
    </row>
    <row r="391" spans="2:11" x14ac:dyDescent="0.25">
      <c r="B391" s="2"/>
      <c r="C391" s="2"/>
      <c r="D391" s="2"/>
      <c r="E391" s="2"/>
      <c r="F391" s="2"/>
    </row>
    <row r="393" spans="2:11" x14ac:dyDescent="0.25">
      <c r="B393" s="7" t="s">
        <v>791</v>
      </c>
    </row>
    <row r="394" spans="2:11" x14ac:dyDescent="0.25">
      <c r="B394" s="75" t="s">
        <v>173</v>
      </c>
      <c r="C394" s="85" t="s">
        <v>175</v>
      </c>
      <c r="D394" s="85"/>
      <c r="E394" s="85"/>
      <c r="F394" s="85" t="s">
        <v>42</v>
      </c>
      <c r="G394" s="85"/>
    </row>
    <row r="395" spans="2:11" x14ac:dyDescent="0.25">
      <c r="B395" s="54"/>
      <c r="C395" s="86"/>
      <c r="D395" s="86"/>
      <c r="E395" s="86"/>
      <c r="F395" s="87"/>
      <c r="G395" s="88"/>
    </row>
    <row r="396" spans="2:11" x14ac:dyDescent="0.25">
      <c r="B396" s="54"/>
      <c r="C396" s="86"/>
      <c r="D396" s="86"/>
      <c r="E396" s="86"/>
      <c r="F396" s="87"/>
      <c r="G396" s="88"/>
    </row>
    <row r="397" spans="2:11" x14ac:dyDescent="0.25">
      <c r="B397" s="54"/>
      <c r="C397" s="86"/>
      <c r="D397" s="86"/>
      <c r="E397" s="86"/>
      <c r="F397" s="87"/>
      <c r="G397" s="88"/>
    </row>
    <row r="398" spans="2:11" x14ac:dyDescent="0.25">
      <c r="B398" s="54"/>
      <c r="C398" s="86"/>
      <c r="D398" s="86"/>
      <c r="E398" s="86"/>
      <c r="F398" s="87"/>
      <c r="G398" s="88"/>
    </row>
    <row r="399" spans="2:11" x14ac:dyDescent="0.25">
      <c r="B399" s="54"/>
      <c r="C399" s="86"/>
      <c r="D399" s="86"/>
      <c r="E399" s="86"/>
      <c r="F399" s="87"/>
      <c r="G399" s="88"/>
    </row>
    <row r="400" spans="2:11" x14ac:dyDescent="0.25">
      <c r="B400" s="54"/>
      <c r="C400" s="86"/>
      <c r="D400" s="86"/>
      <c r="E400" s="86"/>
      <c r="F400" s="87"/>
      <c r="G400" s="88"/>
    </row>
    <row r="401" spans="2:30" x14ac:dyDescent="0.25">
      <c r="B401" s="54"/>
      <c r="C401" s="86"/>
      <c r="D401" s="86"/>
      <c r="E401" s="86"/>
      <c r="F401" s="87"/>
      <c r="G401" s="88"/>
    </row>
    <row r="402" spans="2:30" x14ac:dyDescent="0.25">
      <c r="B402" s="54"/>
      <c r="C402" s="86"/>
      <c r="D402" s="86"/>
      <c r="E402" s="86"/>
      <c r="F402" s="87"/>
      <c r="G402" s="88"/>
    </row>
    <row r="404" spans="2:30" x14ac:dyDescent="0.25">
      <c r="B404" s="7" t="s">
        <v>792</v>
      </c>
    </row>
    <row r="405" spans="2:30" x14ac:dyDescent="0.25">
      <c r="B405" s="41" t="s">
        <v>173</v>
      </c>
      <c r="C405" s="93" t="s">
        <v>175</v>
      </c>
      <c r="D405" s="93"/>
      <c r="E405" s="93"/>
      <c r="F405" s="93" t="s">
        <v>751</v>
      </c>
      <c r="G405" s="93"/>
      <c r="H405" s="93" t="s">
        <v>752</v>
      </c>
      <c r="I405" s="93"/>
      <c r="J405" s="93" t="s">
        <v>753</v>
      </c>
      <c r="K405" s="93"/>
      <c r="L405" s="93" t="s">
        <v>157</v>
      </c>
      <c r="M405" s="93"/>
      <c r="N405" s="93" t="s">
        <v>42</v>
      </c>
      <c r="O405" s="94"/>
      <c r="P405" s="94" t="s">
        <v>93</v>
      </c>
      <c r="Q405" s="95"/>
      <c r="R405" s="95"/>
      <c r="S405" s="95"/>
      <c r="T405" s="95"/>
      <c r="U405" s="95"/>
      <c r="V405" s="95"/>
      <c r="W405" s="95"/>
      <c r="X405" s="95"/>
      <c r="Y405" s="95"/>
      <c r="Z405" s="96"/>
      <c r="AA405" s="55"/>
      <c r="AB405" s="55"/>
      <c r="AC405" s="55"/>
      <c r="AD405" s="55"/>
    </row>
    <row r="406" spans="2:30" x14ac:dyDescent="0.25">
      <c r="B406" s="65"/>
      <c r="C406" s="89"/>
      <c r="D406" s="89"/>
      <c r="E406" s="89"/>
      <c r="F406" s="89"/>
      <c r="G406" s="89"/>
      <c r="H406" s="89"/>
      <c r="I406" s="89"/>
      <c r="J406" s="89"/>
      <c r="K406" s="89"/>
      <c r="L406" s="89"/>
      <c r="M406" s="89"/>
      <c r="N406" s="89"/>
      <c r="O406" s="90"/>
      <c r="P406" s="90"/>
      <c r="Q406" s="91"/>
      <c r="R406" s="91"/>
      <c r="S406" s="91"/>
      <c r="T406" s="91"/>
      <c r="U406" s="91"/>
      <c r="V406" s="91"/>
      <c r="W406" s="91"/>
      <c r="X406" s="91"/>
      <c r="Y406" s="91"/>
      <c r="Z406" s="92"/>
      <c r="AA406" s="56"/>
      <c r="AB406" s="56"/>
      <c r="AC406" s="56"/>
      <c r="AD406" s="56"/>
    </row>
    <row r="407" spans="2:30" x14ac:dyDescent="0.25">
      <c r="B407" s="65"/>
      <c r="C407" s="89"/>
      <c r="D407" s="89"/>
      <c r="E407" s="89"/>
      <c r="F407" s="89"/>
      <c r="G407" s="89"/>
      <c r="H407" s="89"/>
      <c r="I407" s="89"/>
      <c r="J407" s="89"/>
      <c r="K407" s="89"/>
      <c r="L407" s="89"/>
      <c r="M407" s="89"/>
      <c r="N407" s="89"/>
      <c r="O407" s="90"/>
      <c r="P407" s="90"/>
      <c r="Q407" s="91"/>
      <c r="R407" s="91"/>
      <c r="S407" s="91"/>
      <c r="T407" s="91"/>
      <c r="U407" s="91"/>
      <c r="V407" s="91"/>
      <c r="W407" s="91"/>
      <c r="X407" s="91"/>
      <c r="Y407" s="91"/>
      <c r="Z407" s="92"/>
      <c r="AA407" s="56"/>
      <c r="AB407" s="56"/>
      <c r="AC407" s="56"/>
      <c r="AD407" s="56"/>
    </row>
    <row r="408" spans="2:30" x14ac:dyDescent="0.25">
      <c r="B408" s="65"/>
      <c r="C408" s="89"/>
      <c r="D408" s="89"/>
      <c r="E408" s="89"/>
      <c r="F408" s="89"/>
      <c r="G408" s="89"/>
      <c r="H408" s="89"/>
      <c r="I408" s="89"/>
      <c r="J408" s="89"/>
      <c r="K408" s="89"/>
      <c r="L408" s="89"/>
      <c r="M408" s="89"/>
      <c r="N408" s="89"/>
      <c r="O408" s="90"/>
      <c r="P408" s="90"/>
      <c r="Q408" s="91"/>
      <c r="R408" s="91"/>
      <c r="S408" s="91"/>
      <c r="T408" s="91"/>
      <c r="U408" s="91"/>
      <c r="V408" s="91"/>
      <c r="W408" s="91"/>
      <c r="X408" s="91"/>
      <c r="Y408" s="91"/>
      <c r="Z408" s="92"/>
      <c r="AA408" s="56"/>
      <c r="AB408" s="56"/>
      <c r="AC408" s="56"/>
      <c r="AD408" s="56"/>
    </row>
    <row r="409" spans="2:30" x14ac:dyDescent="0.25">
      <c r="B409" s="65"/>
      <c r="C409" s="89"/>
      <c r="D409" s="89"/>
      <c r="E409" s="89"/>
      <c r="F409" s="89"/>
      <c r="G409" s="89"/>
      <c r="H409" s="89"/>
      <c r="I409" s="89"/>
      <c r="J409" s="89"/>
      <c r="K409" s="89"/>
      <c r="L409" s="89"/>
      <c r="M409" s="89"/>
      <c r="N409" s="89"/>
      <c r="O409" s="90"/>
      <c r="P409" s="90"/>
      <c r="Q409" s="91"/>
      <c r="R409" s="91"/>
      <c r="S409" s="91"/>
      <c r="T409" s="91"/>
      <c r="U409" s="91"/>
      <c r="V409" s="91"/>
      <c r="W409" s="91"/>
      <c r="X409" s="91"/>
      <c r="Y409" s="91"/>
      <c r="Z409" s="92"/>
      <c r="AA409" s="56"/>
      <c r="AB409" s="56"/>
      <c r="AC409" s="56"/>
      <c r="AD409" s="56"/>
    </row>
    <row r="410" spans="2:30" s="13" customFormat="1" x14ac:dyDescent="0.25">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row>
    <row r="411" spans="2:30" s="11" customFormat="1" ht="28.5" x14ac:dyDescent="0.45">
      <c r="B411" s="23" t="s">
        <v>794</v>
      </c>
    </row>
    <row r="412" spans="2:30" s="7" customFormat="1" x14ac:dyDescent="0.25"/>
    <row r="413" spans="2:30" x14ac:dyDescent="0.25">
      <c r="B413" s="85" t="s">
        <v>159</v>
      </c>
      <c r="C413" s="85"/>
      <c r="D413" s="70"/>
    </row>
    <row r="414" spans="2:30" x14ac:dyDescent="0.25">
      <c r="B414" s="85" t="s">
        <v>171</v>
      </c>
      <c r="C414" s="85"/>
      <c r="D414" s="70"/>
    </row>
    <row r="416" spans="2:30" x14ac:dyDescent="0.25">
      <c r="B416" s="7" t="s">
        <v>160</v>
      </c>
      <c r="D416" s="52" t="b">
        <f>IF(D414="Int",$J$68,IF(D414="Wis",$J$69,IF(D414="Cha",$J$70)))</f>
        <v>0</v>
      </c>
    </row>
    <row r="417" spans="2:30" x14ac:dyDescent="0.25">
      <c r="B417" s="67" t="s">
        <v>161</v>
      </c>
      <c r="C417" s="67" t="s">
        <v>162</v>
      </c>
      <c r="D417" s="67" t="s">
        <v>163</v>
      </c>
      <c r="E417" s="67" t="s">
        <v>164</v>
      </c>
      <c r="F417" s="67" t="s">
        <v>165</v>
      </c>
      <c r="G417" s="67" t="s">
        <v>166</v>
      </c>
      <c r="H417" s="67" t="s">
        <v>167</v>
      </c>
      <c r="I417" s="67" t="s">
        <v>168</v>
      </c>
      <c r="J417" s="67" t="s">
        <v>169</v>
      </c>
      <c r="K417" s="67" t="s">
        <v>170</v>
      </c>
    </row>
    <row r="418" spans="2:30" x14ac:dyDescent="0.25">
      <c r="B418" s="24">
        <f>(10+0+D416)</f>
        <v>10</v>
      </c>
      <c r="C418" s="24">
        <f>(10+1+D416)</f>
        <v>11</v>
      </c>
      <c r="D418" s="24">
        <f>(10+2+D416)</f>
        <v>12</v>
      </c>
      <c r="E418" s="24">
        <f>(10+3+D416)</f>
        <v>13</v>
      </c>
      <c r="F418" s="24">
        <f>(10+4+D416)</f>
        <v>14</v>
      </c>
      <c r="G418" s="24">
        <f>(10+5+D416)</f>
        <v>15</v>
      </c>
      <c r="H418" s="24">
        <f>10+6+D416</f>
        <v>16</v>
      </c>
      <c r="I418" s="24">
        <f>(10+7+D416)</f>
        <v>17</v>
      </c>
      <c r="J418" s="24">
        <f>(10+8+D416)</f>
        <v>18</v>
      </c>
      <c r="K418" s="24">
        <f>(10+9+D416)</f>
        <v>19</v>
      </c>
    </row>
    <row r="420" spans="2:30" x14ac:dyDescent="0.25">
      <c r="B420" s="7" t="s">
        <v>172</v>
      </c>
    </row>
    <row r="421" spans="2:30" x14ac:dyDescent="0.25">
      <c r="B421" s="67" t="s">
        <v>173</v>
      </c>
      <c r="C421" s="67" t="s">
        <v>68</v>
      </c>
      <c r="D421" s="67" t="s">
        <v>174</v>
      </c>
      <c r="E421" s="67" t="s">
        <v>786</v>
      </c>
      <c r="AA421" s="1"/>
    </row>
    <row r="422" spans="2:30" x14ac:dyDescent="0.25">
      <c r="B422" s="70"/>
      <c r="C422" s="70"/>
      <c r="D422" s="70"/>
      <c r="E422" s="70">
        <f>C422-D422</f>
        <v>0</v>
      </c>
      <c r="AA422" s="1"/>
    </row>
    <row r="423" spans="2:30" x14ac:dyDescent="0.25">
      <c r="B423" s="70"/>
      <c r="C423" s="70"/>
      <c r="D423" s="70"/>
      <c r="E423" s="71">
        <f t="shared" ref="E423" si="6">C423-D423</f>
        <v>0</v>
      </c>
      <c r="AA423" s="1"/>
    </row>
    <row r="425" spans="2:30" x14ac:dyDescent="0.25">
      <c r="B425" s="7" t="s">
        <v>787</v>
      </c>
    </row>
    <row r="426" spans="2:30" x14ac:dyDescent="0.25">
      <c r="B426" s="67" t="s">
        <v>173</v>
      </c>
      <c r="C426" s="93" t="s">
        <v>175</v>
      </c>
      <c r="D426" s="93"/>
      <c r="E426" s="93"/>
      <c r="F426" s="93" t="s">
        <v>751</v>
      </c>
      <c r="G426" s="93"/>
      <c r="H426" s="93" t="s">
        <v>752</v>
      </c>
      <c r="I426" s="93"/>
      <c r="J426" s="93" t="s">
        <v>753</v>
      </c>
      <c r="K426" s="93"/>
      <c r="L426" s="93" t="s">
        <v>157</v>
      </c>
      <c r="M426" s="93"/>
      <c r="N426" s="93" t="s">
        <v>42</v>
      </c>
      <c r="O426" s="94"/>
      <c r="P426" s="94" t="s">
        <v>93</v>
      </c>
      <c r="Q426" s="95"/>
      <c r="R426" s="95"/>
      <c r="S426" s="95"/>
      <c r="T426" s="95"/>
      <c r="U426" s="95"/>
      <c r="V426" s="95"/>
      <c r="W426" s="95"/>
      <c r="X426" s="95"/>
      <c r="Y426" s="95"/>
      <c r="Z426" s="96"/>
      <c r="AA426" s="55"/>
      <c r="AB426" s="55"/>
      <c r="AC426" s="55"/>
      <c r="AD426" s="55"/>
    </row>
    <row r="427" spans="2:30" x14ac:dyDescent="0.25">
      <c r="B427" s="65"/>
      <c r="C427" s="89"/>
      <c r="D427" s="89"/>
      <c r="E427" s="89"/>
      <c r="F427" s="89"/>
      <c r="G427" s="89"/>
      <c r="H427" s="89"/>
      <c r="I427" s="89"/>
      <c r="J427" s="89"/>
      <c r="K427" s="89"/>
      <c r="L427" s="89"/>
      <c r="M427" s="89"/>
      <c r="N427" s="89"/>
      <c r="O427" s="90"/>
      <c r="P427" s="90"/>
      <c r="Q427" s="91"/>
      <c r="R427" s="91"/>
      <c r="S427" s="91"/>
      <c r="T427" s="91"/>
      <c r="U427" s="91"/>
      <c r="V427" s="91"/>
      <c r="W427" s="91"/>
      <c r="X427" s="91"/>
      <c r="Y427" s="91"/>
      <c r="Z427" s="92"/>
      <c r="AA427" s="56"/>
      <c r="AB427" s="56"/>
      <c r="AC427" s="56"/>
      <c r="AD427" s="56"/>
    </row>
    <row r="428" spans="2:30" x14ac:dyDescent="0.25">
      <c r="B428" s="65"/>
      <c r="C428" s="89"/>
      <c r="D428" s="89"/>
      <c r="E428" s="89"/>
      <c r="F428" s="89"/>
      <c r="G428" s="89"/>
      <c r="H428" s="89"/>
      <c r="I428" s="89"/>
      <c r="J428" s="89"/>
      <c r="K428" s="89"/>
      <c r="L428" s="89"/>
      <c r="M428" s="89"/>
      <c r="N428" s="89"/>
      <c r="O428" s="90"/>
      <c r="P428" s="90"/>
      <c r="Q428" s="91"/>
      <c r="R428" s="91"/>
      <c r="S428" s="91"/>
      <c r="T428" s="91"/>
      <c r="U428" s="91"/>
      <c r="V428" s="91"/>
      <c r="W428" s="91"/>
      <c r="X428" s="91"/>
      <c r="Y428" s="91"/>
      <c r="Z428" s="92"/>
      <c r="AA428" s="56"/>
      <c r="AB428" s="56"/>
      <c r="AC428" s="56"/>
      <c r="AD428" s="56"/>
    </row>
    <row r="429" spans="2:30" x14ac:dyDescent="0.25">
      <c r="B429" s="65"/>
      <c r="C429" s="89"/>
      <c r="D429" s="89"/>
      <c r="E429" s="89"/>
      <c r="F429" s="89"/>
      <c r="G429" s="89"/>
      <c r="H429" s="89"/>
      <c r="I429" s="89"/>
      <c r="J429" s="89"/>
      <c r="K429" s="89"/>
      <c r="L429" s="89"/>
      <c r="M429" s="89"/>
      <c r="N429" s="89"/>
      <c r="O429" s="90"/>
      <c r="P429" s="90"/>
      <c r="Q429" s="91"/>
      <c r="R429" s="91"/>
      <c r="S429" s="91"/>
      <c r="T429" s="91"/>
      <c r="U429" s="91"/>
      <c r="V429" s="91"/>
      <c r="W429" s="91"/>
      <c r="X429" s="91"/>
      <c r="Y429" s="91"/>
      <c r="Z429" s="92"/>
      <c r="AA429" s="56"/>
      <c r="AB429" s="56"/>
      <c r="AC429" s="56"/>
      <c r="AD429" s="56"/>
    </row>
    <row r="430" spans="2:30" x14ac:dyDescent="0.25">
      <c r="B430" s="65"/>
      <c r="C430" s="89"/>
      <c r="D430" s="89"/>
      <c r="E430" s="89"/>
      <c r="F430" s="89"/>
      <c r="G430" s="89"/>
      <c r="H430" s="89"/>
      <c r="I430" s="89"/>
      <c r="J430" s="89"/>
      <c r="K430" s="89"/>
      <c r="L430" s="89"/>
      <c r="M430" s="89"/>
      <c r="N430" s="89"/>
      <c r="O430" s="90"/>
      <c r="P430" s="90"/>
      <c r="Q430" s="91"/>
      <c r="R430" s="91"/>
      <c r="S430" s="91"/>
      <c r="T430" s="91"/>
      <c r="U430" s="91"/>
      <c r="V430" s="91"/>
      <c r="W430" s="91"/>
      <c r="X430" s="91"/>
      <c r="Y430" s="91"/>
      <c r="Z430" s="92"/>
      <c r="AA430" s="56"/>
      <c r="AB430" s="56"/>
      <c r="AC430" s="56"/>
      <c r="AD430" s="56"/>
    </row>
    <row r="431" spans="2:30" x14ac:dyDescent="0.25">
      <c r="B431" s="65"/>
      <c r="C431" s="89"/>
      <c r="D431" s="89"/>
      <c r="E431" s="89"/>
      <c r="F431" s="89"/>
      <c r="G431" s="89"/>
      <c r="H431" s="89"/>
      <c r="I431" s="89"/>
      <c r="J431" s="89"/>
      <c r="K431" s="89"/>
      <c r="L431" s="89"/>
      <c r="M431" s="89"/>
      <c r="N431" s="89"/>
      <c r="O431" s="90"/>
      <c r="P431" s="90"/>
      <c r="Q431" s="91"/>
      <c r="R431" s="91"/>
      <c r="S431" s="91"/>
      <c r="T431" s="91"/>
      <c r="U431" s="91"/>
      <c r="V431" s="91"/>
      <c r="W431" s="91"/>
      <c r="X431" s="91"/>
      <c r="Y431" s="91"/>
      <c r="Z431" s="92"/>
      <c r="AA431" s="56"/>
      <c r="AB431" s="56"/>
      <c r="AC431" s="56"/>
      <c r="AD431" s="56"/>
    </row>
    <row r="432" spans="2:30" x14ac:dyDescent="0.25">
      <c r="B432" s="65"/>
      <c r="C432" s="89"/>
      <c r="D432" s="89"/>
      <c r="E432" s="89"/>
      <c r="F432" s="89"/>
      <c r="G432" s="89"/>
      <c r="H432" s="89"/>
      <c r="I432" s="89"/>
      <c r="J432" s="89"/>
      <c r="K432" s="89"/>
      <c r="L432" s="89"/>
      <c r="M432" s="89"/>
      <c r="N432" s="89"/>
      <c r="O432" s="90"/>
      <c r="P432" s="90"/>
      <c r="Q432" s="91"/>
      <c r="R432" s="91"/>
      <c r="S432" s="91"/>
      <c r="T432" s="91"/>
      <c r="U432" s="91"/>
      <c r="V432" s="91"/>
      <c r="W432" s="91"/>
      <c r="X432" s="91"/>
      <c r="Y432" s="91"/>
      <c r="Z432" s="92"/>
      <c r="AA432" s="56"/>
      <c r="AB432" s="56"/>
      <c r="AC432" s="56"/>
      <c r="AD432" s="56"/>
    </row>
    <row r="433" spans="2:30" s="13" customFormat="1" x14ac:dyDescent="0.25">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row>
    <row r="434" spans="2:30" s="11" customFormat="1" ht="28.5" x14ac:dyDescent="0.45">
      <c r="B434" s="23" t="s">
        <v>754</v>
      </c>
    </row>
    <row r="435" spans="2:30" s="7" customFormat="1" x14ac:dyDescent="0.25"/>
    <row r="436" spans="2:30" x14ac:dyDescent="0.25">
      <c r="B436" s="85" t="s">
        <v>755</v>
      </c>
      <c r="C436" s="85"/>
      <c r="D436" s="2"/>
    </row>
    <row r="437" spans="2:30" x14ac:dyDescent="0.25">
      <c r="B437" s="85" t="s">
        <v>171</v>
      </c>
      <c r="C437" s="85"/>
      <c r="D437" s="53"/>
    </row>
    <row r="439" spans="2:30" x14ac:dyDescent="0.25">
      <c r="B439" s="7" t="s">
        <v>160</v>
      </c>
      <c r="D439" s="52" t="b">
        <f>IF(D437="Int",J68,IF(D437="Wis",J69,IF(D437="Cha",J70)))</f>
        <v>0</v>
      </c>
    </row>
    <row r="440" spans="2:30" x14ac:dyDescent="0.25">
      <c r="B440" s="41" t="s">
        <v>162</v>
      </c>
      <c r="C440" s="41" t="s">
        <v>163</v>
      </c>
      <c r="D440" s="41" t="s">
        <v>164</v>
      </c>
      <c r="E440" s="41" t="s">
        <v>165</v>
      </c>
      <c r="F440" s="41" t="s">
        <v>166</v>
      </c>
      <c r="G440" s="41" t="s">
        <v>167</v>
      </c>
      <c r="H440" s="41" t="s">
        <v>168</v>
      </c>
      <c r="I440" s="41" t="s">
        <v>169</v>
      </c>
      <c r="J440" s="41" t="s">
        <v>170</v>
      </c>
      <c r="AA440" s="1"/>
    </row>
    <row r="441" spans="2:30" x14ac:dyDescent="0.25">
      <c r="B441" s="24">
        <f>(10+1+D439)</f>
        <v>11</v>
      </c>
      <c r="C441" s="24">
        <f>(10+2+D439)</f>
        <v>12</v>
      </c>
      <c r="D441" s="24">
        <f>(10+3+D439)</f>
        <v>13</v>
      </c>
      <c r="E441" s="24">
        <f>(10+4+D439)</f>
        <v>14</v>
      </c>
      <c r="F441" s="24">
        <f>(10+5+D439)</f>
        <v>15</v>
      </c>
      <c r="G441" s="24">
        <f>10+6+D439</f>
        <v>16</v>
      </c>
      <c r="H441" s="24">
        <f>(10+7+D439)</f>
        <v>17</v>
      </c>
      <c r="I441" s="24">
        <f>(10+8+D439)</f>
        <v>18</v>
      </c>
      <c r="J441" s="24">
        <f>(10+9+D439)</f>
        <v>19</v>
      </c>
      <c r="AA441" s="1"/>
    </row>
    <row r="443" spans="2:30" x14ac:dyDescent="0.25">
      <c r="B443" s="7" t="s">
        <v>756</v>
      </c>
    </row>
    <row r="444" spans="2:30" x14ac:dyDescent="0.25">
      <c r="B444" s="41" t="s">
        <v>173</v>
      </c>
      <c r="C444" s="93" t="s">
        <v>175</v>
      </c>
      <c r="D444" s="93"/>
      <c r="E444" s="93"/>
      <c r="F444" s="93" t="s">
        <v>757</v>
      </c>
      <c r="G444" s="93"/>
      <c r="H444" s="93" t="s">
        <v>752</v>
      </c>
      <c r="I444" s="93"/>
      <c r="J444" s="93" t="s">
        <v>753</v>
      </c>
      <c r="K444" s="93"/>
      <c r="L444" s="93" t="s">
        <v>157</v>
      </c>
      <c r="M444" s="93"/>
      <c r="N444" s="93" t="s">
        <v>42</v>
      </c>
      <c r="O444" s="94"/>
      <c r="P444" s="94" t="s">
        <v>93</v>
      </c>
      <c r="Q444" s="95"/>
      <c r="R444" s="95"/>
      <c r="S444" s="95"/>
      <c r="T444" s="95"/>
      <c r="U444" s="95"/>
      <c r="V444" s="95"/>
      <c r="W444" s="95"/>
      <c r="X444" s="95"/>
      <c r="Y444" s="95"/>
      <c r="Z444" s="96"/>
      <c r="AA444" s="55"/>
      <c r="AB444" s="55"/>
      <c r="AC444" s="55"/>
      <c r="AD444" s="55"/>
    </row>
    <row r="445" spans="2:30" x14ac:dyDescent="0.25">
      <c r="B445" s="42"/>
      <c r="C445" s="127"/>
      <c r="D445" s="127"/>
      <c r="E445" s="127"/>
      <c r="F445" s="127"/>
      <c r="G445" s="127"/>
      <c r="H445" s="127"/>
      <c r="I445" s="127"/>
      <c r="J445" s="127"/>
      <c r="K445" s="127"/>
      <c r="L445" s="127"/>
      <c r="M445" s="127"/>
      <c r="N445" s="127"/>
      <c r="O445" s="128"/>
      <c r="P445" s="128"/>
      <c r="Q445" s="130"/>
      <c r="R445" s="130"/>
      <c r="S445" s="130"/>
      <c r="T445" s="130"/>
      <c r="U445" s="130"/>
      <c r="V445" s="130"/>
      <c r="W445" s="130"/>
      <c r="X445" s="130"/>
      <c r="Y445" s="130"/>
      <c r="Z445" s="129"/>
      <c r="AA445" s="56"/>
      <c r="AB445" s="56"/>
      <c r="AC445" s="56"/>
      <c r="AD445" s="56"/>
    </row>
    <row r="446" spans="2:30" s="13" customFormat="1" x14ac:dyDescent="0.25">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row>
    <row r="447" spans="2:30" s="11" customFormat="1" ht="28.5" x14ac:dyDescent="0.45">
      <c r="B447" s="23" t="s">
        <v>758</v>
      </c>
    </row>
    <row r="448" spans="2:30" s="7" customFormat="1" x14ac:dyDescent="0.25"/>
    <row r="449" spans="2:27" x14ac:dyDescent="0.25">
      <c r="B449" s="85" t="s">
        <v>759</v>
      </c>
      <c r="C449" s="85"/>
      <c r="D449" s="2"/>
    </row>
    <row r="451" spans="2:27" x14ac:dyDescent="0.25">
      <c r="B451" s="7" t="s">
        <v>760</v>
      </c>
    </row>
    <row r="452" spans="2:27" x14ac:dyDescent="0.25">
      <c r="B452" s="44" t="s">
        <v>173</v>
      </c>
      <c r="C452" s="131" t="s">
        <v>761</v>
      </c>
      <c r="D452" s="132"/>
      <c r="E452" s="133"/>
      <c r="F452" s="131" t="s">
        <v>42</v>
      </c>
      <c r="G452" s="133"/>
    </row>
    <row r="453" spans="2:27" x14ac:dyDescent="0.25">
      <c r="B453" s="54"/>
      <c r="C453" s="87"/>
      <c r="D453" s="134"/>
      <c r="E453" s="88"/>
      <c r="F453" s="87"/>
      <c r="G453" s="88"/>
    </row>
    <row r="454" spans="2:27" x14ac:dyDescent="0.25">
      <c r="B454" s="54"/>
      <c r="C454" s="87"/>
      <c r="D454" s="134"/>
      <c r="E454" s="88"/>
      <c r="F454" s="87"/>
      <c r="G454" s="88"/>
    </row>
    <row r="455" spans="2:27" x14ac:dyDescent="0.25">
      <c r="B455" s="54"/>
      <c r="C455" s="87"/>
      <c r="D455" s="134"/>
      <c r="E455" s="88"/>
      <c r="F455" s="87"/>
      <c r="G455" s="88"/>
    </row>
    <row r="456" spans="2:27" x14ac:dyDescent="0.25">
      <c r="B456" s="54"/>
      <c r="C456" s="87"/>
      <c r="D456" s="134"/>
      <c r="E456" s="88"/>
      <c r="F456" s="87"/>
      <c r="G456" s="88"/>
    </row>
    <row r="458" spans="2:27" x14ac:dyDescent="0.25">
      <c r="B458" s="7" t="s">
        <v>762</v>
      </c>
    </row>
    <row r="459" spans="2:27" x14ac:dyDescent="0.25">
      <c r="B459" s="41" t="s">
        <v>173</v>
      </c>
      <c r="C459" s="93" t="s">
        <v>763</v>
      </c>
      <c r="D459" s="93"/>
      <c r="E459" s="93"/>
      <c r="F459" s="94" t="s">
        <v>764</v>
      </c>
      <c r="G459" s="96"/>
      <c r="H459" s="93" t="s">
        <v>42</v>
      </c>
      <c r="I459" s="93"/>
      <c r="J459" s="93" t="s">
        <v>93</v>
      </c>
      <c r="K459" s="93"/>
      <c r="L459" s="93"/>
      <c r="M459" s="93"/>
      <c r="N459" s="93"/>
      <c r="O459" s="93"/>
      <c r="P459" s="93"/>
      <c r="Q459" s="93"/>
      <c r="R459" s="93"/>
      <c r="S459" s="93"/>
      <c r="T459" s="93"/>
      <c r="U459" s="93"/>
      <c r="V459" s="93"/>
      <c r="W459" s="93"/>
      <c r="X459" s="93"/>
      <c r="Z459" s="1"/>
      <c r="AA459" s="1"/>
    </row>
    <row r="460" spans="2:27" x14ac:dyDescent="0.25">
      <c r="B460" s="42"/>
      <c r="C460" s="127"/>
      <c r="D460" s="127"/>
      <c r="E460" s="127"/>
      <c r="F460" s="128"/>
      <c r="G460" s="129"/>
      <c r="H460" s="127"/>
      <c r="I460" s="127"/>
      <c r="J460" s="127"/>
      <c r="K460" s="127"/>
      <c r="L460" s="127"/>
      <c r="M460" s="127"/>
      <c r="N460" s="127"/>
      <c r="O460" s="127"/>
      <c r="P460" s="127"/>
      <c r="Q460" s="127"/>
      <c r="R460" s="127"/>
      <c r="S460" s="127"/>
      <c r="T460" s="127"/>
      <c r="U460" s="127"/>
      <c r="V460" s="127"/>
      <c r="W460" s="127"/>
      <c r="X460" s="127"/>
      <c r="Z460" s="1"/>
      <c r="AA460" s="1"/>
    </row>
    <row r="462" spans="2:27" x14ac:dyDescent="0.25">
      <c r="B462" s="7" t="s">
        <v>765</v>
      </c>
    </row>
    <row r="463" spans="2:27" x14ac:dyDescent="0.25">
      <c r="B463" s="41" t="s">
        <v>173</v>
      </c>
      <c r="C463" s="93" t="s">
        <v>761</v>
      </c>
      <c r="D463" s="93"/>
      <c r="E463" s="93"/>
      <c r="F463" s="94" t="s">
        <v>764</v>
      </c>
      <c r="G463" s="96"/>
      <c r="H463" s="93" t="s">
        <v>42</v>
      </c>
      <c r="I463" s="93"/>
      <c r="J463" s="93" t="s">
        <v>93</v>
      </c>
      <c r="K463" s="93"/>
      <c r="L463" s="93"/>
      <c r="M463" s="93"/>
      <c r="N463" s="93"/>
      <c r="O463" s="93"/>
      <c r="P463" s="93"/>
      <c r="Q463" s="93"/>
      <c r="R463" s="93"/>
      <c r="S463" s="93"/>
      <c r="T463" s="93"/>
      <c r="U463" s="93"/>
      <c r="V463" s="93"/>
      <c r="W463" s="93"/>
      <c r="X463" s="93"/>
      <c r="Z463" s="1"/>
      <c r="AA463" s="1"/>
    </row>
    <row r="464" spans="2:27" x14ac:dyDescent="0.25">
      <c r="B464" s="42"/>
      <c r="C464" s="127"/>
      <c r="D464" s="127"/>
      <c r="E464" s="127"/>
      <c r="F464" s="128"/>
      <c r="G464" s="129"/>
      <c r="H464" s="127"/>
      <c r="I464" s="127"/>
      <c r="J464" s="127"/>
      <c r="K464" s="127"/>
      <c r="L464" s="127"/>
      <c r="M464" s="127"/>
      <c r="N464" s="127"/>
      <c r="O464" s="127"/>
      <c r="P464" s="127"/>
      <c r="Q464" s="127"/>
      <c r="R464" s="127"/>
      <c r="S464" s="127"/>
      <c r="T464" s="127"/>
      <c r="U464" s="127"/>
      <c r="V464" s="127"/>
      <c r="W464" s="127"/>
      <c r="X464" s="127"/>
      <c r="Z464" s="1"/>
      <c r="AA464" s="1"/>
    </row>
    <row r="465" spans="2:27" x14ac:dyDescent="0.25">
      <c r="B465" s="42"/>
      <c r="C465" s="127"/>
      <c r="D465" s="127"/>
      <c r="E465" s="127"/>
      <c r="F465" s="128"/>
      <c r="G465" s="129"/>
      <c r="H465" s="127"/>
      <c r="I465" s="127"/>
      <c r="J465" s="127"/>
      <c r="K465" s="127"/>
      <c r="L465" s="127"/>
      <c r="M465" s="127"/>
      <c r="N465" s="127"/>
      <c r="O465" s="127"/>
      <c r="P465" s="127"/>
      <c r="Q465" s="127"/>
      <c r="R465" s="127"/>
      <c r="S465" s="127"/>
      <c r="T465" s="127"/>
      <c r="U465" s="127"/>
      <c r="V465" s="127"/>
      <c r="W465" s="127"/>
      <c r="X465" s="127"/>
      <c r="Z465" s="1"/>
      <c r="AA465" s="1"/>
    </row>
    <row r="466" spans="2:27" x14ac:dyDescent="0.25">
      <c r="B466" s="42"/>
      <c r="C466" s="127"/>
      <c r="D466" s="127"/>
      <c r="E466" s="127"/>
      <c r="F466" s="128"/>
      <c r="G466" s="129"/>
      <c r="H466" s="127"/>
      <c r="I466" s="127"/>
      <c r="J466" s="127"/>
      <c r="K466" s="127"/>
      <c r="L466" s="127"/>
      <c r="M466" s="127"/>
      <c r="N466" s="127"/>
      <c r="O466" s="127"/>
      <c r="P466" s="127"/>
      <c r="Q466" s="127"/>
      <c r="R466" s="127"/>
      <c r="S466" s="127"/>
      <c r="T466" s="127"/>
      <c r="U466" s="127"/>
      <c r="V466" s="127"/>
      <c r="W466" s="127"/>
      <c r="X466" s="127"/>
      <c r="Z466" s="1"/>
      <c r="AA466" s="1"/>
    </row>
    <row r="467" spans="2:27" x14ac:dyDescent="0.25">
      <c r="B467" s="42"/>
      <c r="C467" s="127"/>
      <c r="D467" s="127"/>
      <c r="E467" s="127"/>
      <c r="F467" s="128"/>
      <c r="G467" s="129"/>
      <c r="H467" s="127"/>
      <c r="I467" s="127"/>
      <c r="J467" s="128"/>
      <c r="K467" s="130"/>
      <c r="L467" s="130"/>
      <c r="M467" s="130"/>
      <c r="N467" s="130"/>
      <c r="O467" s="130"/>
      <c r="P467" s="130"/>
      <c r="Q467" s="130"/>
      <c r="R467" s="130"/>
      <c r="S467" s="130"/>
      <c r="T467" s="130"/>
      <c r="U467" s="130"/>
      <c r="V467" s="130"/>
      <c r="W467" s="130"/>
      <c r="X467" s="129"/>
      <c r="Z467" s="1"/>
      <c r="AA467" s="1"/>
    </row>
    <row r="468" spans="2:27" s="13" customFormat="1" x14ac:dyDescent="0.25">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row>
    <row r="469" spans="2:27" s="11" customFormat="1" ht="28.5" x14ac:dyDescent="0.45">
      <c r="B469" s="23" t="s">
        <v>227</v>
      </c>
    </row>
    <row r="471" spans="2:27" x14ac:dyDescent="0.25">
      <c r="B471" s="105" t="s">
        <v>228</v>
      </c>
      <c r="C471" s="107"/>
      <c r="D471" s="51"/>
      <c r="E471" s="15"/>
    </row>
    <row r="473" spans="2:27" x14ac:dyDescent="0.25">
      <c r="B473" s="7" t="s">
        <v>229</v>
      </c>
    </row>
    <row r="474" spans="2:27" x14ac:dyDescent="0.25">
      <c r="B474" s="105" t="s">
        <v>230</v>
      </c>
      <c r="C474" s="106"/>
      <c r="D474" s="107"/>
      <c r="E474" s="43" t="s">
        <v>231</v>
      </c>
      <c r="F474" s="111" t="s">
        <v>93</v>
      </c>
      <c r="G474" s="111"/>
      <c r="H474" s="111"/>
      <c r="I474" s="111"/>
      <c r="J474" s="111"/>
      <c r="K474" s="111"/>
      <c r="L474" s="111"/>
      <c r="M474" s="111"/>
      <c r="N474" s="111"/>
      <c r="O474" s="111"/>
      <c r="P474" s="111" t="s">
        <v>42</v>
      </c>
      <c r="Q474" s="111"/>
    </row>
    <row r="475" spans="2:27" x14ac:dyDescent="0.25">
      <c r="B475" s="136"/>
      <c r="C475" s="137"/>
      <c r="D475" s="138"/>
      <c r="E475" s="35"/>
      <c r="F475" s="135"/>
      <c r="G475" s="126"/>
      <c r="H475" s="126"/>
      <c r="I475" s="126"/>
      <c r="J475" s="126"/>
      <c r="K475" s="126"/>
      <c r="L475" s="126"/>
      <c r="M475" s="126"/>
      <c r="N475" s="126"/>
      <c r="O475" s="126"/>
      <c r="P475" s="126"/>
      <c r="Q475" s="126"/>
    </row>
    <row r="476" spans="2:27" x14ac:dyDescent="0.25">
      <c r="B476" s="136"/>
      <c r="C476" s="137"/>
      <c r="D476" s="138"/>
      <c r="E476" s="35"/>
      <c r="F476" s="126"/>
      <c r="G476" s="126"/>
      <c r="H476" s="126"/>
      <c r="I476" s="126"/>
      <c r="J476" s="126"/>
      <c r="K476" s="126"/>
      <c r="L476" s="126"/>
      <c r="M476" s="126"/>
      <c r="N476" s="126"/>
      <c r="O476" s="126"/>
      <c r="P476" s="126"/>
      <c r="Q476" s="126"/>
    </row>
    <row r="477" spans="2:27" x14ac:dyDescent="0.25">
      <c r="B477" s="136"/>
      <c r="C477" s="137"/>
      <c r="D477" s="138"/>
      <c r="E477" s="35"/>
      <c r="F477" s="135"/>
      <c r="G477" s="126"/>
      <c r="H477" s="126"/>
      <c r="I477" s="126"/>
      <c r="J477" s="126"/>
      <c r="K477" s="126"/>
      <c r="L477" s="126"/>
      <c r="M477" s="126"/>
      <c r="N477" s="126"/>
      <c r="O477" s="126"/>
      <c r="P477" s="126"/>
      <c r="Q477" s="126"/>
    </row>
    <row r="478" spans="2:27" x14ac:dyDescent="0.25">
      <c r="B478" s="136"/>
      <c r="C478" s="137"/>
      <c r="D478" s="138"/>
      <c r="E478" s="35"/>
      <c r="F478" s="126"/>
      <c r="G478" s="126"/>
      <c r="H478" s="126"/>
      <c r="I478" s="126"/>
      <c r="J478" s="126"/>
      <c r="K478" s="126"/>
      <c r="L478" s="126"/>
      <c r="M478" s="126"/>
      <c r="N478" s="126"/>
      <c r="O478" s="126"/>
      <c r="P478" s="126"/>
      <c r="Q478" s="126"/>
    </row>
    <row r="479" spans="2:27" s="13" customFormat="1" x14ac:dyDescent="0.25">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row>
    <row r="480" spans="2:27" s="11" customFormat="1" ht="28.5" x14ac:dyDescent="0.45">
      <c r="B480" s="23" t="s">
        <v>218</v>
      </c>
    </row>
    <row r="482" spans="2:17" x14ac:dyDescent="0.25">
      <c r="B482" s="105" t="s">
        <v>219</v>
      </c>
      <c r="C482" s="107"/>
      <c r="D482" s="51"/>
      <c r="E482" s="15"/>
    </row>
    <row r="483" spans="2:17" x14ac:dyDescent="0.25">
      <c r="B483" s="105" t="s">
        <v>220</v>
      </c>
      <c r="C483" s="107"/>
      <c r="D483" s="32">
        <f>ROUNDDOWN((D482/2)+J70,0)+10</f>
        <v>12</v>
      </c>
      <c r="E483" s="49"/>
    </row>
    <row r="484" spans="2:17" x14ac:dyDescent="0.25">
      <c r="B484" s="105" t="s">
        <v>748</v>
      </c>
      <c r="C484" s="107"/>
      <c r="D484" s="40">
        <f>D482+J70</f>
        <v>2</v>
      </c>
      <c r="E484" s="49"/>
    </row>
    <row r="485" spans="2:17" x14ac:dyDescent="0.25">
      <c r="B485" s="105" t="s">
        <v>747</v>
      </c>
      <c r="C485" s="107"/>
      <c r="D485" s="32"/>
      <c r="E485" s="49"/>
    </row>
    <row r="487" spans="2:17" x14ac:dyDescent="0.25">
      <c r="B487" s="7" t="s">
        <v>221</v>
      </c>
    </row>
    <row r="488" spans="2:17" x14ac:dyDescent="0.25">
      <c r="B488" s="111" t="s">
        <v>222</v>
      </c>
      <c r="C488" s="111"/>
      <c r="D488" s="111" t="s">
        <v>223</v>
      </c>
      <c r="E488" s="111"/>
      <c r="F488" s="111" t="s">
        <v>224</v>
      </c>
      <c r="G488" s="111"/>
      <c r="H488" s="111"/>
      <c r="I488" s="111"/>
      <c r="J488" s="111"/>
      <c r="K488" s="111"/>
      <c r="L488" s="111"/>
      <c r="M488" s="111"/>
      <c r="N488" s="111"/>
      <c r="O488" s="111"/>
      <c r="P488" s="111" t="s">
        <v>42</v>
      </c>
      <c r="Q488" s="111"/>
    </row>
    <row r="489" spans="2:17" x14ac:dyDescent="0.25">
      <c r="B489" s="136"/>
      <c r="C489" s="138"/>
      <c r="D489" s="136"/>
      <c r="E489" s="138"/>
      <c r="F489" s="126"/>
      <c r="G489" s="126"/>
      <c r="H489" s="126"/>
      <c r="I489" s="126"/>
      <c r="J489" s="126"/>
      <c r="K489" s="126"/>
      <c r="L489" s="126"/>
      <c r="M489" s="126"/>
      <c r="N489" s="126"/>
      <c r="O489" s="126"/>
      <c r="P489" s="126"/>
      <c r="Q489" s="126"/>
    </row>
    <row r="490" spans="2:17" x14ac:dyDescent="0.25">
      <c r="B490" s="145"/>
      <c r="C490" s="146"/>
      <c r="D490" s="145"/>
      <c r="E490" s="146"/>
      <c r="F490" s="147"/>
      <c r="G490" s="147"/>
      <c r="H490" s="147"/>
      <c r="I490" s="147"/>
      <c r="J490" s="147"/>
      <c r="K490" s="147"/>
      <c r="L490" s="147"/>
      <c r="M490" s="147"/>
      <c r="N490" s="147"/>
      <c r="O490" s="147"/>
      <c r="P490" s="147"/>
      <c r="Q490" s="147"/>
    </row>
    <row r="492" spans="2:17" x14ac:dyDescent="0.25">
      <c r="B492" s="7" t="s">
        <v>225</v>
      </c>
    </row>
    <row r="493" spans="2:17" x14ac:dyDescent="0.25">
      <c r="B493" s="111" t="s">
        <v>22</v>
      </c>
      <c r="C493" s="111"/>
      <c r="D493" s="111" t="s">
        <v>226</v>
      </c>
      <c r="E493" s="111"/>
      <c r="F493" s="111" t="s">
        <v>93</v>
      </c>
      <c r="G493" s="111"/>
      <c r="H493" s="111"/>
      <c r="I493" s="111"/>
      <c r="J493" s="111"/>
      <c r="K493" s="111"/>
      <c r="L493" s="111"/>
      <c r="M493" s="111"/>
      <c r="N493" s="111"/>
      <c r="O493" s="111"/>
      <c r="P493" s="111" t="s">
        <v>42</v>
      </c>
      <c r="Q493" s="111"/>
    </row>
    <row r="494" spans="2:17" x14ac:dyDescent="0.25">
      <c r="B494" s="126" t="s">
        <v>273</v>
      </c>
      <c r="C494" s="126"/>
      <c r="D494" s="126" t="s">
        <v>274</v>
      </c>
      <c r="E494" s="126"/>
      <c r="F494" s="126" t="s">
        <v>275</v>
      </c>
      <c r="G494" s="126"/>
      <c r="H494" s="126"/>
      <c r="I494" s="126"/>
      <c r="J494" s="126"/>
      <c r="K494" s="126"/>
      <c r="L494" s="126"/>
      <c r="M494" s="126"/>
      <c r="N494" s="126"/>
      <c r="O494" s="126"/>
      <c r="P494" s="126" t="s">
        <v>276</v>
      </c>
      <c r="Q494" s="126"/>
    </row>
    <row r="495" spans="2:17" x14ac:dyDescent="0.25">
      <c r="B495" s="126" t="s">
        <v>277</v>
      </c>
      <c r="C495" s="126"/>
      <c r="D495" s="126" t="s">
        <v>274</v>
      </c>
      <c r="E495" s="126"/>
      <c r="F495" s="126" t="str">
        <f>"Able to breathe a line of fire "&amp;IF((D471*10)&gt;=50,50,(D471*10))&amp;" feet long, dealing "&amp;D471&amp;"d6 fire damage to all creatures in the area.  Reflex save for half.  1/5 round ability."</f>
        <v>Able to breathe a line of fire 0 feet long, dealing d6 fire damage to all creatures in the area.  Reflex save for half.  1/5 round ability.</v>
      </c>
      <c r="G495" s="126"/>
      <c r="H495" s="126"/>
      <c r="I495" s="126"/>
      <c r="J495" s="126"/>
      <c r="K495" s="126"/>
      <c r="L495" s="126"/>
      <c r="M495" s="126"/>
      <c r="N495" s="126"/>
      <c r="O495" s="126"/>
      <c r="P495" s="126" t="s">
        <v>276</v>
      </c>
      <c r="Q495" s="126"/>
    </row>
    <row r="496" spans="2:17" x14ac:dyDescent="0.25">
      <c r="B496" s="126" t="s">
        <v>278</v>
      </c>
      <c r="C496" s="126"/>
      <c r="D496" s="126" t="s">
        <v>274</v>
      </c>
      <c r="E496" s="126"/>
      <c r="F496" s="126" t="s">
        <v>279</v>
      </c>
      <c r="G496" s="126"/>
      <c r="H496" s="126"/>
      <c r="I496" s="126"/>
      <c r="J496" s="126"/>
      <c r="K496" s="126"/>
      <c r="L496" s="126"/>
      <c r="M496" s="126"/>
      <c r="N496" s="126"/>
      <c r="O496" s="126"/>
      <c r="P496" s="126" t="s">
        <v>276</v>
      </c>
      <c r="Q496" s="126"/>
    </row>
    <row r="497" spans="2:17" x14ac:dyDescent="0.25">
      <c r="B497" s="126" t="s">
        <v>289</v>
      </c>
      <c r="C497" s="126"/>
      <c r="D497" s="126" t="s">
        <v>290</v>
      </c>
      <c r="E497" s="126"/>
      <c r="F497" s="126" t="s">
        <v>291</v>
      </c>
      <c r="G497" s="126"/>
      <c r="H497" s="126"/>
      <c r="I497" s="126"/>
      <c r="J497" s="126"/>
      <c r="K497" s="126"/>
      <c r="L497" s="126"/>
      <c r="M497" s="126"/>
      <c r="N497" s="126"/>
      <c r="O497" s="126"/>
      <c r="P497" s="126" t="s">
        <v>276</v>
      </c>
      <c r="Q497" s="126"/>
    </row>
    <row r="498" spans="2:17" x14ac:dyDescent="0.25">
      <c r="B498" s="126" t="s">
        <v>292</v>
      </c>
      <c r="C498" s="126"/>
      <c r="D498" s="126" t="s">
        <v>290</v>
      </c>
      <c r="E498" s="126"/>
      <c r="F498" s="126" t="s">
        <v>293</v>
      </c>
      <c r="G498" s="126"/>
      <c r="H498" s="126"/>
      <c r="I498" s="126"/>
      <c r="J498" s="126"/>
      <c r="K498" s="126"/>
      <c r="L498" s="126"/>
      <c r="M498" s="126"/>
      <c r="N498" s="126"/>
      <c r="O498" s="126"/>
      <c r="P498" s="126" t="s">
        <v>276</v>
      </c>
      <c r="Q498" s="126"/>
    </row>
    <row r="499" spans="2:17" x14ac:dyDescent="0.25">
      <c r="B499" s="126" t="s">
        <v>294</v>
      </c>
      <c r="C499" s="126"/>
      <c r="D499" s="126" t="s">
        <v>290</v>
      </c>
      <c r="E499" s="126"/>
      <c r="F499" s="126" t="s">
        <v>295</v>
      </c>
      <c r="G499" s="126"/>
      <c r="H499" s="126"/>
      <c r="I499" s="126"/>
      <c r="J499" s="126"/>
      <c r="K499" s="126"/>
      <c r="L499" s="126"/>
      <c r="M499" s="126"/>
      <c r="N499" s="126"/>
      <c r="O499" s="126"/>
      <c r="P499" s="126" t="s">
        <v>276</v>
      </c>
      <c r="Q499" s="126"/>
    </row>
    <row r="500" spans="2:17" x14ac:dyDescent="0.25">
      <c r="B500" s="126" t="s">
        <v>296</v>
      </c>
      <c r="C500" s="126"/>
      <c r="D500" s="126" t="s">
        <v>290</v>
      </c>
      <c r="E500" s="126"/>
      <c r="F500" s="126" t="s">
        <v>297</v>
      </c>
      <c r="G500" s="126"/>
      <c r="H500" s="126"/>
      <c r="I500" s="126"/>
      <c r="J500" s="126"/>
      <c r="K500" s="126"/>
      <c r="L500" s="126"/>
      <c r="M500" s="126"/>
      <c r="N500" s="126"/>
      <c r="O500" s="126"/>
      <c r="P500" s="126" t="s">
        <v>276</v>
      </c>
      <c r="Q500" s="126"/>
    </row>
    <row r="501" spans="2:17" x14ac:dyDescent="0.25">
      <c r="B501" s="126" t="s">
        <v>298</v>
      </c>
      <c r="C501" s="126"/>
      <c r="D501" s="126" t="s">
        <v>290</v>
      </c>
      <c r="E501" s="126"/>
      <c r="F501" s="126" t="s">
        <v>299</v>
      </c>
      <c r="G501" s="126"/>
      <c r="H501" s="126"/>
      <c r="I501" s="126"/>
      <c r="J501" s="126"/>
      <c r="K501" s="126"/>
      <c r="L501" s="126"/>
      <c r="M501" s="126"/>
      <c r="N501" s="126"/>
      <c r="O501" s="126"/>
      <c r="P501" s="126" t="s">
        <v>276</v>
      </c>
      <c r="Q501" s="126"/>
    </row>
    <row r="502" spans="2:17" x14ac:dyDescent="0.25">
      <c r="B502" s="126" t="s">
        <v>300</v>
      </c>
      <c r="C502" s="126"/>
      <c r="D502" s="126" t="s">
        <v>290</v>
      </c>
      <c r="E502" s="126"/>
      <c r="F502" s="126" t="s">
        <v>301</v>
      </c>
      <c r="G502" s="126"/>
      <c r="H502" s="126"/>
      <c r="I502" s="126"/>
      <c r="J502" s="126"/>
      <c r="K502" s="126"/>
      <c r="L502" s="126"/>
      <c r="M502" s="126"/>
      <c r="N502" s="126"/>
      <c r="O502" s="126"/>
      <c r="P502" s="126" t="s">
        <v>276</v>
      </c>
      <c r="Q502" s="126"/>
    </row>
    <row r="503" spans="2:17" x14ac:dyDescent="0.25">
      <c r="B503" s="126" t="s">
        <v>339</v>
      </c>
      <c r="C503" s="126"/>
      <c r="D503" s="126" t="s">
        <v>340</v>
      </c>
      <c r="E503" s="126"/>
      <c r="F503" s="126" t="s">
        <v>341</v>
      </c>
      <c r="G503" s="126"/>
      <c r="H503" s="126"/>
      <c r="I503" s="126"/>
      <c r="J503" s="126"/>
      <c r="K503" s="126"/>
      <c r="L503" s="126"/>
      <c r="M503" s="126"/>
      <c r="N503" s="126"/>
      <c r="O503" s="126"/>
      <c r="P503" s="126" t="s">
        <v>342</v>
      </c>
      <c r="Q503" s="126"/>
    </row>
    <row r="504" spans="2:17" x14ac:dyDescent="0.25">
      <c r="B504" s="126" t="s">
        <v>343</v>
      </c>
      <c r="C504" s="126"/>
      <c r="D504" s="126" t="s">
        <v>340</v>
      </c>
      <c r="E504" s="126"/>
      <c r="F504" s="126" t="s">
        <v>344</v>
      </c>
      <c r="G504" s="126"/>
      <c r="H504" s="126"/>
      <c r="I504" s="126"/>
      <c r="J504" s="126"/>
      <c r="K504" s="126"/>
      <c r="L504" s="126"/>
      <c r="M504" s="126"/>
      <c r="N504" s="126"/>
      <c r="O504" s="126"/>
      <c r="P504" s="126" t="s">
        <v>342</v>
      </c>
      <c r="Q504" s="126"/>
    </row>
    <row r="505" spans="2:17" x14ac:dyDescent="0.25">
      <c r="B505" s="126" t="s">
        <v>345</v>
      </c>
      <c r="C505" s="126"/>
      <c r="D505" s="126" t="s">
        <v>340</v>
      </c>
      <c r="E505" s="126"/>
      <c r="F505" s="126" t="s">
        <v>346</v>
      </c>
      <c r="G505" s="126"/>
      <c r="H505" s="126"/>
      <c r="I505" s="126"/>
      <c r="J505" s="126"/>
      <c r="K505" s="126"/>
      <c r="L505" s="126"/>
      <c r="M505" s="126"/>
      <c r="N505" s="126"/>
      <c r="O505" s="126"/>
      <c r="P505" s="126" t="s">
        <v>342</v>
      </c>
      <c r="Q505" s="126"/>
    </row>
    <row r="506" spans="2:17" x14ac:dyDescent="0.25">
      <c r="B506" s="126" t="s">
        <v>347</v>
      </c>
      <c r="C506" s="126"/>
      <c r="D506" s="126" t="s">
        <v>340</v>
      </c>
      <c r="E506" s="126"/>
      <c r="F506" s="126" t="s">
        <v>348</v>
      </c>
      <c r="G506" s="126"/>
      <c r="H506" s="126"/>
      <c r="I506" s="126"/>
      <c r="J506" s="126"/>
      <c r="K506" s="126"/>
      <c r="L506" s="126"/>
      <c r="M506" s="126"/>
      <c r="N506" s="126"/>
      <c r="O506" s="126"/>
      <c r="P506" s="126" t="s">
        <v>342</v>
      </c>
      <c r="Q506" s="126"/>
    </row>
    <row r="507" spans="2:17" x14ac:dyDescent="0.25">
      <c r="B507" s="126" t="s">
        <v>328</v>
      </c>
      <c r="C507" s="126"/>
      <c r="D507" s="126" t="s">
        <v>340</v>
      </c>
      <c r="E507" s="126"/>
      <c r="F507" s="126" t="s">
        <v>349</v>
      </c>
      <c r="G507" s="126"/>
      <c r="H507" s="126"/>
      <c r="I507" s="126"/>
      <c r="J507" s="126"/>
      <c r="K507" s="126"/>
      <c r="L507" s="126"/>
      <c r="M507" s="126"/>
      <c r="N507" s="126"/>
      <c r="O507" s="126"/>
      <c r="P507" s="126" t="s">
        <v>342</v>
      </c>
      <c r="Q507" s="126"/>
    </row>
    <row r="508" spans="2:17" x14ac:dyDescent="0.25">
      <c r="B508" s="126" t="s">
        <v>357</v>
      </c>
      <c r="C508" s="126"/>
      <c r="D508" s="126" t="s">
        <v>358</v>
      </c>
      <c r="E508" s="126"/>
      <c r="F508" s="126" t="s">
        <v>576</v>
      </c>
      <c r="G508" s="126"/>
      <c r="H508" s="126"/>
      <c r="I508" s="126"/>
      <c r="J508" s="126"/>
      <c r="K508" s="126"/>
      <c r="L508" s="126"/>
      <c r="M508" s="126"/>
      <c r="N508" s="126"/>
      <c r="O508" s="126"/>
      <c r="P508" s="126" t="s">
        <v>359</v>
      </c>
      <c r="Q508" s="126"/>
    </row>
    <row r="509" spans="2:17" x14ac:dyDescent="0.25">
      <c r="B509" s="126" t="s">
        <v>360</v>
      </c>
      <c r="C509" s="126"/>
      <c r="D509" s="126" t="s">
        <v>358</v>
      </c>
      <c r="E509" s="126"/>
      <c r="F509" s="126" t="s">
        <v>361</v>
      </c>
      <c r="G509" s="126"/>
      <c r="H509" s="126"/>
      <c r="I509" s="126"/>
      <c r="J509" s="126"/>
      <c r="K509" s="126"/>
      <c r="L509" s="126"/>
      <c r="M509" s="126"/>
      <c r="N509" s="126"/>
      <c r="O509" s="126"/>
      <c r="P509" s="126" t="s">
        <v>359</v>
      </c>
      <c r="Q509" s="126"/>
    </row>
    <row r="510" spans="2:17" x14ac:dyDescent="0.25">
      <c r="B510" s="126" t="s">
        <v>362</v>
      </c>
      <c r="C510" s="126"/>
      <c r="D510" s="126" t="s">
        <v>358</v>
      </c>
      <c r="E510" s="126"/>
      <c r="F510" s="126" t="str">
        <f>"Select "&amp;J67&amp;" trained-only skills that have no ranks in them. Gain the ability to use those skills as though they were trained."</f>
        <v>Select 7 trained-only skills that have no ranks in them. Gain the ability to use those skills as though they were trained.</v>
      </c>
      <c r="G510" s="126"/>
      <c r="H510" s="126"/>
      <c r="I510" s="126"/>
      <c r="J510" s="126"/>
      <c r="K510" s="126"/>
      <c r="L510" s="126"/>
      <c r="M510" s="126"/>
      <c r="N510" s="126"/>
      <c r="O510" s="126"/>
      <c r="P510" s="126" t="s">
        <v>363</v>
      </c>
      <c r="Q510" s="126"/>
    </row>
    <row r="511" spans="2:17" x14ac:dyDescent="0.25">
      <c r="B511" s="126" t="s">
        <v>364</v>
      </c>
      <c r="C511" s="126"/>
      <c r="D511" s="126" t="s">
        <v>358</v>
      </c>
      <c r="E511" s="126"/>
      <c r="F511" s="126" t="s">
        <v>577</v>
      </c>
      <c r="G511" s="126"/>
      <c r="H511" s="126"/>
      <c r="I511" s="126"/>
      <c r="J511" s="126"/>
      <c r="K511" s="126"/>
      <c r="L511" s="126"/>
      <c r="M511" s="126"/>
      <c r="N511" s="126"/>
      <c r="O511" s="126"/>
      <c r="P511" s="126" t="s">
        <v>363</v>
      </c>
      <c r="Q511" s="126"/>
    </row>
    <row r="512" spans="2:17" x14ac:dyDescent="0.25">
      <c r="B512" s="126" t="s">
        <v>365</v>
      </c>
      <c r="C512" s="126"/>
      <c r="D512" s="126" t="s">
        <v>358</v>
      </c>
      <c r="E512" s="126"/>
      <c r="F512" s="126" t="s">
        <v>366</v>
      </c>
      <c r="G512" s="126"/>
      <c r="H512" s="126"/>
      <c r="I512" s="126"/>
      <c r="J512" s="126"/>
      <c r="K512" s="126"/>
      <c r="L512" s="126"/>
      <c r="M512" s="126"/>
      <c r="N512" s="126"/>
      <c r="O512" s="126"/>
      <c r="P512" s="126" t="s">
        <v>363</v>
      </c>
      <c r="Q512" s="126"/>
    </row>
    <row r="513" spans="2:17" x14ac:dyDescent="0.25">
      <c r="B513" s="126" t="s">
        <v>385</v>
      </c>
      <c r="C513" s="126"/>
      <c r="D513" s="126" t="s">
        <v>382</v>
      </c>
      <c r="E513" s="126"/>
      <c r="F513" s="126" t="s">
        <v>386</v>
      </c>
      <c r="G513" s="126"/>
      <c r="H513" s="126"/>
      <c r="I513" s="126"/>
      <c r="J513" s="126"/>
      <c r="K513" s="126"/>
      <c r="L513" s="126"/>
      <c r="M513" s="126"/>
      <c r="N513" s="126"/>
      <c r="O513" s="126"/>
      <c r="P513" s="126" t="s">
        <v>384</v>
      </c>
      <c r="Q513" s="126"/>
    </row>
    <row r="514" spans="2:17" x14ac:dyDescent="0.25">
      <c r="B514" s="126" t="s">
        <v>387</v>
      </c>
      <c r="C514" s="126"/>
      <c r="D514" s="126" t="s">
        <v>382</v>
      </c>
      <c r="E514" s="126"/>
      <c r="F514" s="126" t="s">
        <v>578</v>
      </c>
      <c r="G514" s="126"/>
      <c r="H514" s="126"/>
      <c r="I514" s="126"/>
      <c r="J514" s="126"/>
      <c r="K514" s="126"/>
      <c r="L514" s="126"/>
      <c r="M514" s="126"/>
      <c r="N514" s="126"/>
      <c r="O514" s="126"/>
      <c r="P514" s="126" t="s">
        <v>384</v>
      </c>
      <c r="Q514" s="126"/>
    </row>
    <row r="515" spans="2:17" x14ac:dyDescent="0.25">
      <c r="B515" s="126" t="s">
        <v>388</v>
      </c>
      <c r="C515" s="126"/>
      <c r="D515" s="126" t="s">
        <v>382</v>
      </c>
      <c r="E515" s="126"/>
      <c r="F515" s="126" t="s">
        <v>389</v>
      </c>
      <c r="G515" s="126"/>
      <c r="H515" s="126"/>
      <c r="I515" s="126"/>
      <c r="J515" s="126"/>
      <c r="K515" s="126"/>
      <c r="L515" s="126"/>
      <c r="M515" s="126"/>
      <c r="N515" s="126"/>
      <c r="O515" s="126"/>
      <c r="P515" s="126" t="s">
        <v>384</v>
      </c>
      <c r="Q515" s="126"/>
    </row>
    <row r="516" spans="2:17" x14ac:dyDescent="0.25">
      <c r="B516" s="126" t="s">
        <v>390</v>
      </c>
      <c r="C516" s="126"/>
      <c r="D516" s="126" t="s">
        <v>382</v>
      </c>
      <c r="E516" s="126"/>
      <c r="F516" s="126" t="s">
        <v>391</v>
      </c>
      <c r="G516" s="126"/>
      <c r="H516" s="126"/>
      <c r="I516" s="126"/>
      <c r="J516" s="126"/>
      <c r="K516" s="126"/>
      <c r="L516" s="126"/>
      <c r="M516" s="126"/>
      <c r="N516" s="126"/>
      <c r="O516" s="126"/>
      <c r="P516" s="126" t="s">
        <v>384</v>
      </c>
      <c r="Q516" s="126"/>
    </row>
    <row r="517" spans="2:17" x14ac:dyDescent="0.25">
      <c r="B517" s="126" t="s">
        <v>381</v>
      </c>
      <c r="C517" s="126"/>
      <c r="D517" s="126" t="s">
        <v>382</v>
      </c>
      <c r="E517" s="126"/>
      <c r="F517" s="126" t="s">
        <v>383</v>
      </c>
      <c r="G517" s="126"/>
      <c r="H517" s="126"/>
      <c r="I517" s="126"/>
      <c r="J517" s="126"/>
      <c r="K517" s="126"/>
      <c r="L517" s="126"/>
      <c r="M517" s="126"/>
      <c r="N517" s="126"/>
      <c r="O517" s="126"/>
      <c r="P517" s="126" t="s">
        <v>384</v>
      </c>
      <c r="Q517" s="126"/>
    </row>
    <row r="518" spans="2:17" x14ac:dyDescent="0.25">
      <c r="B518" s="126" t="s">
        <v>302</v>
      </c>
      <c r="C518" s="126"/>
      <c r="D518" s="126" t="s">
        <v>303</v>
      </c>
      <c r="E518" s="126"/>
      <c r="F518" s="126" t="s">
        <v>304</v>
      </c>
      <c r="G518" s="126"/>
      <c r="H518" s="126"/>
      <c r="I518" s="126"/>
      <c r="J518" s="126"/>
      <c r="K518" s="126"/>
      <c r="L518" s="126"/>
      <c r="M518" s="126"/>
      <c r="N518" s="126"/>
      <c r="O518" s="126"/>
      <c r="P518" s="126" t="s">
        <v>305</v>
      </c>
      <c r="Q518" s="126"/>
    </row>
    <row r="519" spans="2:17" x14ac:dyDescent="0.25">
      <c r="B519" s="126" t="s">
        <v>306</v>
      </c>
      <c r="C519" s="126"/>
      <c r="D519" s="126" t="s">
        <v>303</v>
      </c>
      <c r="E519" s="126"/>
      <c r="F519" s="126" t="s">
        <v>307</v>
      </c>
      <c r="G519" s="126"/>
      <c r="H519" s="126"/>
      <c r="I519" s="126"/>
      <c r="J519" s="126"/>
      <c r="K519" s="126"/>
      <c r="L519" s="126"/>
      <c r="M519" s="126"/>
      <c r="N519" s="126"/>
      <c r="O519" s="126"/>
      <c r="P519" s="126" t="s">
        <v>305</v>
      </c>
      <c r="Q519" s="126"/>
    </row>
    <row r="520" spans="2:17" x14ac:dyDescent="0.25">
      <c r="B520" s="126" t="s">
        <v>308</v>
      </c>
      <c r="C520" s="126"/>
      <c r="D520" s="126" t="s">
        <v>303</v>
      </c>
      <c r="E520" s="126"/>
      <c r="F520" s="126" t="s">
        <v>309</v>
      </c>
      <c r="G520" s="126"/>
      <c r="H520" s="126"/>
      <c r="I520" s="126"/>
      <c r="J520" s="126"/>
      <c r="K520" s="126"/>
      <c r="L520" s="126"/>
      <c r="M520" s="126"/>
      <c r="N520" s="126"/>
      <c r="O520" s="126"/>
      <c r="P520" s="126" t="s">
        <v>305</v>
      </c>
      <c r="Q520" s="126"/>
    </row>
    <row r="521" spans="2:17" x14ac:dyDescent="0.25">
      <c r="B521" s="126" t="s">
        <v>310</v>
      </c>
      <c r="C521" s="126"/>
      <c r="D521" s="126" t="s">
        <v>303</v>
      </c>
      <c r="E521" s="126"/>
      <c r="F521" s="126" t="s">
        <v>311</v>
      </c>
      <c r="G521" s="126"/>
      <c r="H521" s="126"/>
      <c r="I521" s="126"/>
      <c r="J521" s="126"/>
      <c r="K521" s="126"/>
      <c r="L521" s="126"/>
      <c r="M521" s="126"/>
      <c r="N521" s="126"/>
      <c r="O521" s="126"/>
      <c r="P521" s="126" t="s">
        <v>305</v>
      </c>
      <c r="Q521" s="126"/>
    </row>
    <row r="522" spans="2:17" x14ac:dyDescent="0.25">
      <c r="B522" s="126" t="s">
        <v>321</v>
      </c>
      <c r="C522" s="126"/>
      <c r="D522" s="126" t="s">
        <v>322</v>
      </c>
      <c r="E522" s="126"/>
      <c r="F522" s="126" t="str">
        <f>"Touch attack renders target confused for "&amp;FLOOR(D471/3,1)&amp;" rounds unless it succeeds on a Will save.  At effective binder level 19, functions as a maze spell."</f>
        <v>Touch attack renders target confused for 0 rounds unless it succeeds on a Will save.  At effective binder level 19, functions as a maze spell.</v>
      </c>
      <c r="G522" s="126"/>
      <c r="H522" s="126"/>
      <c r="I522" s="126"/>
      <c r="J522" s="126"/>
      <c r="K522" s="126"/>
      <c r="L522" s="126"/>
      <c r="M522" s="126"/>
      <c r="N522" s="126"/>
      <c r="O522" s="126"/>
      <c r="P522" s="126" t="s">
        <v>323</v>
      </c>
      <c r="Q522" s="126"/>
    </row>
    <row r="523" spans="2:17" x14ac:dyDescent="0.25">
      <c r="B523" s="126" t="s">
        <v>324</v>
      </c>
      <c r="C523" s="126"/>
      <c r="D523" s="126" t="s">
        <v>322</v>
      </c>
      <c r="E523" s="126"/>
      <c r="F523" s="126" t="s">
        <v>325</v>
      </c>
      <c r="G523" s="126"/>
      <c r="H523" s="126"/>
      <c r="I523" s="126"/>
      <c r="J523" s="126"/>
      <c r="K523" s="126"/>
      <c r="L523" s="126"/>
      <c r="M523" s="126"/>
      <c r="N523" s="126"/>
      <c r="O523" s="126"/>
      <c r="P523" s="126" t="s">
        <v>323</v>
      </c>
      <c r="Q523" s="126"/>
    </row>
    <row r="524" spans="2:17" x14ac:dyDescent="0.25">
      <c r="B524" s="126" t="s">
        <v>326</v>
      </c>
      <c r="C524" s="126"/>
      <c r="D524" s="126" t="s">
        <v>322</v>
      </c>
      <c r="E524" s="126"/>
      <c r="F524" s="126" t="s">
        <v>327</v>
      </c>
      <c r="G524" s="126"/>
      <c r="H524" s="126"/>
      <c r="I524" s="126"/>
      <c r="J524" s="126"/>
      <c r="K524" s="126"/>
      <c r="L524" s="126"/>
      <c r="M524" s="126"/>
      <c r="N524" s="126"/>
      <c r="O524" s="126"/>
      <c r="P524" s="126" t="s">
        <v>323</v>
      </c>
      <c r="Q524" s="126"/>
    </row>
    <row r="525" spans="2:17" x14ac:dyDescent="0.25">
      <c r="B525" s="126" t="s">
        <v>328</v>
      </c>
      <c r="C525" s="126"/>
      <c r="D525" s="126" t="s">
        <v>322</v>
      </c>
      <c r="E525" s="126"/>
      <c r="F525" s="126" t="s">
        <v>329</v>
      </c>
      <c r="G525" s="126"/>
      <c r="H525" s="126"/>
      <c r="I525" s="126"/>
      <c r="J525" s="126"/>
      <c r="K525" s="126"/>
      <c r="L525" s="126"/>
      <c r="M525" s="126"/>
      <c r="N525" s="126"/>
      <c r="O525" s="126"/>
      <c r="P525" s="126" t="s">
        <v>323</v>
      </c>
      <c r="Q525" s="126"/>
    </row>
    <row r="526" spans="2:17" x14ac:dyDescent="0.25">
      <c r="B526" s="126" t="s">
        <v>350</v>
      </c>
      <c r="C526" s="126"/>
      <c r="D526" s="126" t="s">
        <v>272</v>
      </c>
      <c r="E526" s="126"/>
      <c r="F526" s="126" t="s">
        <v>351</v>
      </c>
      <c r="G526" s="126"/>
      <c r="H526" s="126"/>
      <c r="I526" s="126"/>
      <c r="J526" s="126"/>
      <c r="K526" s="126"/>
      <c r="L526" s="126"/>
      <c r="M526" s="126"/>
      <c r="N526" s="126"/>
      <c r="O526" s="126"/>
      <c r="P526" s="126" t="s">
        <v>342</v>
      </c>
      <c r="Q526" s="126"/>
    </row>
    <row r="527" spans="2:17" x14ac:dyDescent="0.25">
      <c r="B527" s="126" t="s">
        <v>352</v>
      </c>
      <c r="C527" s="126"/>
      <c r="D527" s="126" t="s">
        <v>272</v>
      </c>
      <c r="E527" s="126"/>
      <c r="F527" s="126" t="str">
        <f>"As a swift action, become invisible for "&amp;D471&amp;" rounds.  1/5 round ability."</f>
        <v>As a swift action, become invisible for  rounds.  1/5 round ability.</v>
      </c>
      <c r="G527" s="126"/>
      <c r="H527" s="126"/>
      <c r="I527" s="126"/>
      <c r="J527" s="126"/>
      <c r="K527" s="126"/>
      <c r="L527" s="126"/>
      <c r="M527" s="126"/>
      <c r="N527" s="126"/>
      <c r="O527" s="126"/>
      <c r="P527" s="126" t="s">
        <v>342</v>
      </c>
      <c r="Q527" s="126"/>
    </row>
    <row r="528" spans="2:17" x14ac:dyDescent="0.25">
      <c r="B528" s="126" t="s">
        <v>353</v>
      </c>
      <c r="C528" s="126"/>
      <c r="D528" s="126" t="s">
        <v>272</v>
      </c>
      <c r="E528" s="126"/>
      <c r="F528" s="126" t="s">
        <v>354</v>
      </c>
      <c r="G528" s="126"/>
      <c r="H528" s="126"/>
      <c r="I528" s="126"/>
      <c r="J528" s="126"/>
      <c r="K528" s="126"/>
      <c r="L528" s="126"/>
      <c r="M528" s="126"/>
      <c r="N528" s="126"/>
      <c r="O528" s="126"/>
      <c r="P528" s="126" t="s">
        <v>355</v>
      </c>
      <c r="Q528" s="126"/>
    </row>
    <row r="529" spans="2:17" x14ac:dyDescent="0.25">
      <c r="B529" s="126" t="s">
        <v>356</v>
      </c>
      <c r="C529" s="126"/>
      <c r="D529" s="126" t="s">
        <v>272</v>
      </c>
      <c r="E529" s="126"/>
      <c r="F529" s="126" t="str">
        <f>"Deal an extra "&amp;1+FLOOR(D482/4,1)&amp;"d6 damage to targets within 30 feet that are denied their dex bonus to armor class."</f>
        <v>Deal an extra 1d6 damage to targets within 30 feet that are denied their dex bonus to armor class.</v>
      </c>
      <c r="G529" s="126"/>
      <c r="H529" s="126"/>
      <c r="I529" s="126"/>
      <c r="J529" s="126"/>
      <c r="K529" s="126"/>
      <c r="L529" s="126"/>
      <c r="M529" s="126"/>
      <c r="N529" s="126"/>
      <c r="O529" s="126"/>
      <c r="P529" s="126" t="s">
        <v>355</v>
      </c>
      <c r="Q529" s="126"/>
    </row>
    <row r="530" spans="2:17" x14ac:dyDescent="0.25">
      <c r="B530" s="126" t="s">
        <v>392</v>
      </c>
      <c r="C530" s="126"/>
      <c r="D530" s="126" t="s">
        <v>393</v>
      </c>
      <c r="E530" s="126"/>
      <c r="F530" s="126" t="s">
        <v>394</v>
      </c>
      <c r="G530" s="126"/>
      <c r="H530" s="126"/>
      <c r="I530" s="126"/>
      <c r="J530" s="126"/>
      <c r="K530" s="126"/>
      <c r="L530" s="126"/>
      <c r="M530" s="126"/>
      <c r="N530" s="126"/>
      <c r="O530" s="126"/>
      <c r="P530" s="126" t="s">
        <v>395</v>
      </c>
      <c r="Q530" s="126"/>
    </row>
    <row r="531" spans="2:17" x14ac:dyDescent="0.25">
      <c r="B531" s="126" t="s">
        <v>396</v>
      </c>
      <c r="C531" s="126"/>
      <c r="D531" s="126" t="s">
        <v>393</v>
      </c>
      <c r="E531" s="126"/>
      <c r="F531" s="126" t="s">
        <v>397</v>
      </c>
      <c r="G531" s="126"/>
      <c r="H531" s="126"/>
      <c r="I531" s="126"/>
      <c r="J531" s="126"/>
      <c r="K531" s="126"/>
      <c r="L531" s="126"/>
      <c r="M531" s="126"/>
      <c r="N531" s="126"/>
      <c r="O531" s="126"/>
      <c r="P531" s="126" t="s">
        <v>398</v>
      </c>
      <c r="Q531" s="126"/>
    </row>
    <row r="532" spans="2:17" x14ac:dyDescent="0.25">
      <c r="B532" s="126" t="s">
        <v>399</v>
      </c>
      <c r="C532" s="126"/>
      <c r="D532" s="126" t="s">
        <v>393</v>
      </c>
      <c r="E532" s="126"/>
      <c r="F532" s="126" t="str">
        <f>"Able to instantly swap positions with any visible ally within "&amp;FLOOR(D482/2,1)*5&amp;" feet as a standard action."</f>
        <v>Able to instantly swap positions with any visible ally within 0 feet as a standard action.</v>
      </c>
      <c r="G532" s="126"/>
      <c r="H532" s="126"/>
      <c r="I532" s="126"/>
      <c r="J532" s="126"/>
      <c r="K532" s="126"/>
      <c r="L532" s="126"/>
      <c r="M532" s="126"/>
      <c r="N532" s="126"/>
      <c r="O532" s="126"/>
      <c r="P532" s="126" t="s">
        <v>398</v>
      </c>
      <c r="Q532" s="126"/>
    </row>
    <row r="533" spans="2:17" x14ac:dyDescent="0.25">
      <c r="B533" s="126" t="s">
        <v>400</v>
      </c>
      <c r="C533" s="126"/>
      <c r="D533" s="126" t="s">
        <v>393</v>
      </c>
      <c r="E533" s="126"/>
      <c r="F533" s="126" t="str">
        <f>"While wearing called armor, gain damage reduction "&amp;1+FLOOR(D482/4,1)&amp;"/piercing."</f>
        <v>While wearing called armor, gain damage reduction 1/piercing.</v>
      </c>
      <c r="G533" s="126"/>
      <c r="H533" s="126"/>
      <c r="I533" s="126"/>
      <c r="J533" s="126"/>
      <c r="K533" s="126"/>
      <c r="L533" s="126"/>
      <c r="M533" s="126"/>
      <c r="N533" s="126"/>
      <c r="O533" s="126"/>
      <c r="P533" s="126" t="s">
        <v>398</v>
      </c>
      <c r="Q533" s="126"/>
    </row>
    <row r="534" spans="2:17" x14ac:dyDescent="0.25">
      <c r="B534" s="126" t="s">
        <v>408</v>
      </c>
      <c r="C534" s="126"/>
      <c r="D534" s="126" t="s">
        <v>409</v>
      </c>
      <c r="E534" s="126"/>
      <c r="F534" s="126" t="s">
        <v>410</v>
      </c>
      <c r="G534" s="126"/>
      <c r="H534" s="126"/>
      <c r="I534" s="126"/>
      <c r="J534" s="126"/>
      <c r="K534" s="126"/>
      <c r="L534" s="126"/>
      <c r="M534" s="126"/>
      <c r="N534" s="126"/>
      <c r="O534" s="126"/>
      <c r="P534" s="126" t="s">
        <v>411</v>
      </c>
      <c r="Q534" s="126"/>
    </row>
    <row r="535" spans="2:17" x14ac:dyDescent="0.25">
      <c r="B535" s="126" t="s">
        <v>412</v>
      </c>
      <c r="C535" s="126"/>
      <c r="D535" s="126" t="s">
        <v>409</v>
      </c>
      <c r="E535" s="126"/>
      <c r="F535" s="126" t="s">
        <v>580</v>
      </c>
      <c r="G535" s="126"/>
      <c r="H535" s="126"/>
      <c r="I535" s="126"/>
      <c r="J535" s="126"/>
      <c r="K535" s="126"/>
      <c r="L535" s="126"/>
      <c r="M535" s="126"/>
      <c r="N535" s="126"/>
      <c r="O535" s="126"/>
      <c r="P535" s="126" t="s">
        <v>411</v>
      </c>
      <c r="Q535" s="126"/>
    </row>
    <row r="536" spans="2:17" x14ac:dyDescent="0.25">
      <c r="B536" s="126" t="s">
        <v>413</v>
      </c>
      <c r="C536" s="126"/>
      <c r="D536" s="126" t="s">
        <v>409</v>
      </c>
      <c r="E536" s="126"/>
      <c r="F536" s="126" t="str">
        <f>"Gain blindsight out to "&amp;D482*5&amp;" feet."</f>
        <v>Gain blindsight out to 0 feet.</v>
      </c>
      <c r="G536" s="126"/>
      <c r="H536" s="126"/>
      <c r="I536" s="126"/>
      <c r="J536" s="126"/>
      <c r="K536" s="126"/>
      <c r="L536" s="126"/>
      <c r="M536" s="126"/>
      <c r="N536" s="126"/>
      <c r="O536" s="126"/>
      <c r="P536" s="126" t="s">
        <v>411</v>
      </c>
      <c r="Q536" s="126"/>
    </row>
    <row r="537" spans="2:17" x14ac:dyDescent="0.25">
      <c r="B537" s="126" t="s">
        <v>414</v>
      </c>
      <c r="C537" s="126"/>
      <c r="D537" s="126" t="s">
        <v>409</v>
      </c>
      <c r="E537" s="126"/>
      <c r="F537" s="126" t="s">
        <v>581</v>
      </c>
      <c r="G537" s="126"/>
      <c r="H537" s="126"/>
      <c r="I537" s="126"/>
      <c r="J537" s="126"/>
      <c r="K537" s="126"/>
      <c r="L537" s="126"/>
      <c r="M537" s="126"/>
      <c r="N537" s="126"/>
      <c r="O537" s="126"/>
      <c r="P537" s="126" t="s">
        <v>411</v>
      </c>
      <c r="Q537" s="126"/>
    </row>
    <row r="538" spans="2:17" x14ac:dyDescent="0.25">
      <c r="B538" s="126" t="s">
        <v>280</v>
      </c>
      <c r="C538" s="126"/>
      <c r="D538" s="126" t="s">
        <v>281</v>
      </c>
      <c r="E538" s="126"/>
      <c r="F538" s="126" t="s">
        <v>571</v>
      </c>
      <c r="G538" s="126"/>
      <c r="H538" s="126"/>
      <c r="I538" s="126"/>
      <c r="J538" s="126"/>
      <c r="K538" s="126"/>
      <c r="L538" s="126"/>
      <c r="M538" s="126"/>
      <c r="N538" s="126"/>
      <c r="O538" s="126"/>
      <c r="P538" s="126" t="s">
        <v>282</v>
      </c>
      <c r="Q538" s="126"/>
    </row>
    <row r="539" spans="2:17" x14ac:dyDescent="0.25">
      <c r="B539" s="126" t="s">
        <v>283</v>
      </c>
      <c r="C539" s="126"/>
      <c r="D539" s="126" t="s">
        <v>281</v>
      </c>
      <c r="E539" s="126"/>
      <c r="F539" s="126" t="s">
        <v>572</v>
      </c>
      <c r="G539" s="126"/>
      <c r="H539" s="126"/>
      <c r="I539" s="126"/>
      <c r="J539" s="126"/>
      <c r="K539" s="126"/>
      <c r="L539" s="126"/>
      <c r="M539" s="126"/>
      <c r="N539" s="126"/>
      <c r="O539" s="126"/>
      <c r="P539" s="126" t="s">
        <v>282</v>
      </c>
      <c r="Q539" s="126"/>
    </row>
    <row r="540" spans="2:17" x14ac:dyDescent="0.25">
      <c r="B540" s="126" t="s">
        <v>284</v>
      </c>
      <c r="C540" s="126"/>
      <c r="D540" s="126" t="s">
        <v>281</v>
      </c>
      <c r="E540" s="126"/>
      <c r="F540" s="126" t="s">
        <v>573</v>
      </c>
      <c r="G540" s="126"/>
      <c r="H540" s="126"/>
      <c r="I540" s="126"/>
      <c r="J540" s="126"/>
      <c r="K540" s="126"/>
      <c r="L540" s="126"/>
      <c r="M540" s="126"/>
      <c r="N540" s="126"/>
      <c r="O540" s="126"/>
      <c r="P540" s="126" t="s">
        <v>282</v>
      </c>
      <c r="Q540" s="126"/>
    </row>
    <row r="541" spans="2:17" x14ac:dyDescent="0.25">
      <c r="B541" s="126" t="s">
        <v>285</v>
      </c>
      <c r="C541" s="126"/>
      <c r="D541" s="126" t="s">
        <v>281</v>
      </c>
      <c r="E541" s="126"/>
      <c r="F541" s="126" t="s">
        <v>286</v>
      </c>
      <c r="G541" s="126"/>
      <c r="H541" s="126"/>
      <c r="I541" s="126"/>
      <c r="J541" s="126"/>
      <c r="K541" s="126"/>
      <c r="L541" s="126"/>
      <c r="M541" s="126"/>
      <c r="N541" s="126"/>
      <c r="O541" s="126"/>
      <c r="P541" s="126" t="s">
        <v>282</v>
      </c>
      <c r="Q541" s="126"/>
    </row>
    <row r="542" spans="2:17" x14ac:dyDescent="0.25">
      <c r="B542" s="126" t="s">
        <v>287</v>
      </c>
      <c r="C542" s="126"/>
      <c r="D542" s="126" t="s">
        <v>281</v>
      </c>
      <c r="E542" s="126"/>
      <c r="F542" s="126" t="s">
        <v>288</v>
      </c>
      <c r="G542" s="126"/>
      <c r="H542" s="126"/>
      <c r="I542" s="126"/>
      <c r="J542" s="126"/>
      <c r="K542" s="126"/>
      <c r="L542" s="126"/>
      <c r="M542" s="126"/>
      <c r="N542" s="126"/>
      <c r="O542" s="126"/>
      <c r="P542" s="126" t="s">
        <v>282</v>
      </c>
      <c r="Q542" s="126"/>
    </row>
    <row r="543" spans="2:17" x14ac:dyDescent="0.25">
      <c r="B543" s="126" t="s">
        <v>312</v>
      </c>
      <c r="C543" s="126"/>
      <c r="D543" s="126" t="s">
        <v>313</v>
      </c>
      <c r="E543" s="126"/>
      <c r="F543" s="126" t="s">
        <v>314</v>
      </c>
      <c r="G543" s="126"/>
      <c r="H543" s="126"/>
      <c r="I543" s="126"/>
      <c r="J543" s="126"/>
      <c r="K543" s="126"/>
      <c r="L543" s="126"/>
      <c r="M543" s="126"/>
      <c r="N543" s="126"/>
      <c r="O543" s="126"/>
      <c r="P543" s="126" t="s">
        <v>315</v>
      </c>
      <c r="Q543" s="126"/>
    </row>
    <row r="544" spans="2:17" x14ac:dyDescent="0.25">
      <c r="B544" s="126" t="s">
        <v>316</v>
      </c>
      <c r="C544" s="126"/>
      <c r="D544" s="126" t="s">
        <v>313</v>
      </c>
      <c r="E544" s="126"/>
      <c r="F544" s="126" t="s">
        <v>317</v>
      </c>
      <c r="G544" s="126"/>
      <c r="H544" s="126"/>
      <c r="I544" s="126"/>
      <c r="J544" s="126"/>
      <c r="K544" s="126"/>
      <c r="L544" s="126"/>
      <c r="M544" s="126"/>
      <c r="N544" s="126"/>
      <c r="O544" s="126"/>
      <c r="P544" s="126" t="s">
        <v>315</v>
      </c>
      <c r="Q544" s="126"/>
    </row>
    <row r="545" spans="2:17" x14ac:dyDescent="0.25">
      <c r="B545" s="126" t="s">
        <v>318</v>
      </c>
      <c r="C545" s="126"/>
      <c r="D545" s="126" t="s">
        <v>313</v>
      </c>
      <c r="E545" s="126"/>
      <c r="F545" s="126" t="str">
        <f>"Once per round, strike any target within "&amp;D471*10&amp;" feet with a bolt of lightning dealing 3d6 electricity damage, +1d6 for every 3 effective binder levels beyond 5th."</f>
        <v>Once per round, strike any target within 0 feet with a bolt of lightning dealing 3d6 electricity damage, +1d6 for every 3 effective binder levels beyond 5th.</v>
      </c>
      <c r="G545" s="126"/>
      <c r="H545" s="126"/>
      <c r="I545" s="126"/>
      <c r="J545" s="126"/>
      <c r="K545" s="126"/>
      <c r="L545" s="126"/>
      <c r="M545" s="126"/>
      <c r="N545" s="126"/>
      <c r="O545" s="126"/>
      <c r="P545" s="126" t="s">
        <v>315</v>
      </c>
      <c r="Q545" s="126"/>
    </row>
    <row r="546" spans="2:17" x14ac:dyDescent="0.25">
      <c r="B546" s="126" t="s">
        <v>319</v>
      </c>
      <c r="C546" s="126"/>
      <c r="D546" s="126" t="s">
        <v>313</v>
      </c>
      <c r="E546" s="126"/>
      <c r="F546" s="126" t="s">
        <v>320</v>
      </c>
      <c r="G546" s="126"/>
      <c r="H546" s="126"/>
      <c r="I546" s="126"/>
      <c r="J546" s="126"/>
      <c r="K546" s="126"/>
      <c r="L546" s="126"/>
      <c r="M546" s="126"/>
      <c r="N546" s="126"/>
      <c r="O546" s="126"/>
      <c r="P546" s="126" t="s">
        <v>315</v>
      </c>
      <c r="Q546" s="126"/>
    </row>
    <row r="547" spans="2:17" x14ac:dyDescent="0.25">
      <c r="B547" s="126" t="s">
        <v>330</v>
      </c>
      <c r="C547" s="126"/>
      <c r="D547" s="126" t="s">
        <v>331</v>
      </c>
      <c r="E547" s="126"/>
      <c r="F547" s="126" t="s">
        <v>332</v>
      </c>
      <c r="G547" s="126"/>
      <c r="H547" s="126"/>
      <c r="I547" s="126"/>
      <c r="J547" s="126"/>
      <c r="K547" s="126"/>
      <c r="L547" s="126"/>
      <c r="M547" s="126"/>
      <c r="N547" s="126"/>
      <c r="O547" s="126"/>
      <c r="P547" s="126" t="s">
        <v>333</v>
      </c>
      <c r="Q547" s="126"/>
    </row>
    <row r="548" spans="2:17" x14ac:dyDescent="0.25">
      <c r="B548" s="126" t="s">
        <v>334</v>
      </c>
      <c r="C548" s="126"/>
      <c r="D548" s="126" t="s">
        <v>331</v>
      </c>
      <c r="E548" s="126"/>
      <c r="F548" s="126" t="s">
        <v>574</v>
      </c>
      <c r="G548" s="126"/>
      <c r="H548" s="126"/>
      <c r="I548" s="126"/>
      <c r="J548" s="126"/>
      <c r="K548" s="126"/>
      <c r="L548" s="126"/>
      <c r="M548" s="126"/>
      <c r="N548" s="126"/>
      <c r="O548" s="126"/>
      <c r="P548" s="126" t="s">
        <v>333</v>
      </c>
      <c r="Q548" s="126"/>
    </row>
    <row r="549" spans="2:17" x14ac:dyDescent="0.25">
      <c r="B549" s="126" t="s">
        <v>335</v>
      </c>
      <c r="C549" s="126"/>
      <c r="D549" s="126" t="s">
        <v>331</v>
      </c>
      <c r="E549" s="126"/>
      <c r="F549" s="126" t="s">
        <v>575</v>
      </c>
      <c r="G549" s="126"/>
      <c r="H549" s="126"/>
      <c r="I549" s="126"/>
      <c r="J549" s="126"/>
      <c r="K549" s="126"/>
      <c r="L549" s="126"/>
      <c r="M549" s="126"/>
      <c r="N549" s="126"/>
      <c r="O549" s="126"/>
      <c r="P549" s="126" t="s">
        <v>336</v>
      </c>
      <c r="Q549" s="126"/>
    </row>
    <row r="550" spans="2:17" x14ac:dyDescent="0.25">
      <c r="B550" s="126" t="s">
        <v>337</v>
      </c>
      <c r="C550" s="126"/>
      <c r="D550" s="126" t="s">
        <v>331</v>
      </c>
      <c r="E550" s="126"/>
      <c r="F550" s="126" t="s">
        <v>338</v>
      </c>
      <c r="G550" s="126"/>
      <c r="H550" s="126"/>
      <c r="I550" s="126"/>
      <c r="J550" s="126"/>
      <c r="K550" s="126"/>
      <c r="L550" s="126"/>
      <c r="M550" s="126"/>
      <c r="N550" s="126"/>
      <c r="O550" s="126"/>
      <c r="P550" s="126" t="s">
        <v>336</v>
      </c>
      <c r="Q550" s="126"/>
    </row>
    <row r="551" spans="2:17" x14ac:dyDescent="0.25">
      <c r="B551" s="126" t="s">
        <v>367</v>
      </c>
      <c r="C551" s="126"/>
      <c r="D551" s="126" t="s">
        <v>368</v>
      </c>
      <c r="E551" s="126"/>
      <c r="F551" s="126" t="s">
        <v>369</v>
      </c>
      <c r="G551" s="126"/>
      <c r="H551" s="126"/>
      <c r="I551" s="126"/>
      <c r="J551" s="126"/>
      <c r="K551" s="126"/>
      <c r="L551" s="126"/>
      <c r="M551" s="126"/>
      <c r="N551" s="126"/>
      <c r="O551" s="126"/>
      <c r="P551" s="126" t="s">
        <v>370</v>
      </c>
      <c r="Q551" s="126"/>
    </row>
    <row r="552" spans="2:17" x14ac:dyDescent="0.25">
      <c r="B552" s="126" t="s">
        <v>371</v>
      </c>
      <c r="C552" s="126"/>
      <c r="D552" s="126" t="s">
        <v>368</v>
      </c>
      <c r="E552" s="126"/>
      <c r="F552" s="126" t="s">
        <v>372</v>
      </c>
      <c r="G552" s="126"/>
      <c r="H552" s="126"/>
      <c r="I552" s="126"/>
      <c r="J552" s="126"/>
      <c r="K552" s="126"/>
      <c r="L552" s="126"/>
      <c r="M552" s="126"/>
      <c r="N552" s="126"/>
      <c r="O552" s="126"/>
      <c r="P552" s="126" t="s">
        <v>370</v>
      </c>
      <c r="Q552" s="126"/>
    </row>
    <row r="553" spans="2:17" x14ac:dyDescent="0.25">
      <c r="B553" s="126" t="s">
        <v>373</v>
      </c>
      <c r="C553" s="126"/>
      <c r="D553" s="126" t="s">
        <v>368</v>
      </c>
      <c r="E553" s="126"/>
      <c r="F553" s="126" t="s">
        <v>374</v>
      </c>
      <c r="G553" s="126"/>
      <c r="H553" s="126"/>
      <c r="I553" s="126"/>
      <c r="J553" s="126"/>
      <c r="K553" s="126"/>
      <c r="L553" s="126"/>
      <c r="M553" s="126"/>
      <c r="N553" s="126"/>
      <c r="O553" s="126"/>
      <c r="P553" s="126" t="s">
        <v>370</v>
      </c>
      <c r="Q553" s="126"/>
    </row>
    <row r="554" spans="2:17" x14ac:dyDescent="0.25">
      <c r="B554" s="126" t="s">
        <v>375</v>
      </c>
      <c r="C554" s="126"/>
      <c r="D554" s="126" t="s">
        <v>368</v>
      </c>
      <c r="E554" s="126"/>
      <c r="F554" s="126" t="s">
        <v>376</v>
      </c>
      <c r="G554" s="126"/>
      <c r="H554" s="126"/>
      <c r="I554" s="126"/>
      <c r="J554" s="126"/>
      <c r="K554" s="126"/>
      <c r="L554" s="126"/>
      <c r="M554" s="126"/>
      <c r="N554" s="126"/>
      <c r="O554" s="126"/>
      <c r="P554" s="126" t="s">
        <v>370</v>
      </c>
      <c r="Q554" s="126"/>
    </row>
    <row r="555" spans="2:17" x14ac:dyDescent="0.25">
      <c r="B555" s="126" t="s">
        <v>377</v>
      </c>
      <c r="C555" s="126"/>
      <c r="D555" s="126" t="s">
        <v>368</v>
      </c>
      <c r="E555" s="126"/>
      <c r="F555" s="126" t="s">
        <v>378</v>
      </c>
      <c r="G555" s="126"/>
      <c r="H555" s="126"/>
      <c r="I555" s="126"/>
      <c r="J555" s="126"/>
      <c r="K555" s="126"/>
      <c r="L555" s="126"/>
      <c r="M555" s="126"/>
      <c r="N555" s="126"/>
      <c r="O555" s="126"/>
      <c r="P555" s="126" t="s">
        <v>370</v>
      </c>
      <c r="Q555" s="126"/>
    </row>
    <row r="556" spans="2:17" x14ac:dyDescent="0.25">
      <c r="B556" s="126" t="s">
        <v>379</v>
      </c>
      <c r="C556" s="126"/>
      <c r="D556" s="126" t="s">
        <v>368</v>
      </c>
      <c r="E556" s="126"/>
      <c r="F556" s="126" t="s">
        <v>380</v>
      </c>
      <c r="G556" s="126"/>
      <c r="H556" s="126"/>
      <c r="I556" s="126"/>
      <c r="J556" s="126"/>
      <c r="K556" s="126"/>
      <c r="L556" s="126"/>
      <c r="M556" s="126"/>
      <c r="N556" s="126"/>
      <c r="O556" s="126"/>
      <c r="P556" s="126" t="s">
        <v>370</v>
      </c>
      <c r="Q556" s="126"/>
    </row>
    <row r="557" spans="2:17" x14ac:dyDescent="0.25">
      <c r="B557" s="126" t="s">
        <v>401</v>
      </c>
      <c r="C557" s="126"/>
      <c r="D557" s="126" t="s">
        <v>402</v>
      </c>
      <c r="E557" s="126"/>
      <c r="F557" s="126" t="s">
        <v>403</v>
      </c>
      <c r="G557" s="126"/>
      <c r="H557" s="126"/>
      <c r="I557" s="126"/>
      <c r="J557" s="126"/>
      <c r="K557" s="126"/>
      <c r="L557" s="126"/>
      <c r="M557" s="126"/>
      <c r="N557" s="126"/>
      <c r="O557" s="126"/>
      <c r="P557" s="126" t="s">
        <v>404</v>
      </c>
      <c r="Q557" s="126"/>
    </row>
    <row r="558" spans="2:17" x14ac:dyDescent="0.25">
      <c r="B558" s="126" t="s">
        <v>405</v>
      </c>
      <c r="C558" s="126"/>
      <c r="D558" s="126" t="s">
        <v>402</v>
      </c>
      <c r="E558" s="126"/>
      <c r="F558" s="126" t="s">
        <v>406</v>
      </c>
      <c r="G558" s="126"/>
      <c r="H558" s="126"/>
      <c r="I558" s="126"/>
      <c r="J558" s="126"/>
      <c r="K558" s="126"/>
      <c r="L558" s="126"/>
      <c r="M558" s="126"/>
      <c r="N558" s="126"/>
      <c r="O558" s="126"/>
      <c r="P558" s="126" t="s">
        <v>404</v>
      </c>
      <c r="Q558" s="126"/>
    </row>
    <row r="559" spans="2:17" x14ac:dyDescent="0.25">
      <c r="B559" s="126" t="s">
        <v>407</v>
      </c>
      <c r="C559" s="126"/>
      <c r="D559" s="126" t="s">
        <v>402</v>
      </c>
      <c r="E559" s="126"/>
      <c r="F559" s="126" t="s">
        <v>579</v>
      </c>
      <c r="G559" s="126"/>
      <c r="H559" s="126"/>
      <c r="I559" s="126"/>
      <c r="J559" s="126"/>
      <c r="K559" s="126"/>
      <c r="L559" s="126"/>
      <c r="M559" s="126"/>
      <c r="N559" s="126"/>
      <c r="O559" s="126"/>
      <c r="P559" s="126" t="s">
        <v>404</v>
      </c>
      <c r="Q559" s="126"/>
    </row>
    <row r="560" spans="2:17" x14ac:dyDescent="0.25">
      <c r="B560" s="126" t="s">
        <v>426</v>
      </c>
      <c r="C560" s="126"/>
      <c r="D560" s="126" t="s">
        <v>427</v>
      </c>
      <c r="E560" s="126"/>
      <c r="F560" s="135" t="s">
        <v>428</v>
      </c>
      <c r="G560" s="126"/>
      <c r="H560" s="126"/>
      <c r="I560" s="126"/>
      <c r="J560" s="126"/>
      <c r="K560" s="126"/>
      <c r="L560" s="126"/>
      <c r="M560" s="126"/>
      <c r="N560" s="126"/>
      <c r="O560" s="126"/>
      <c r="P560" s="126" t="s">
        <v>429</v>
      </c>
      <c r="Q560" s="126"/>
    </row>
    <row r="561" spans="2:17" x14ac:dyDescent="0.25">
      <c r="B561" s="126" t="s">
        <v>430</v>
      </c>
      <c r="C561" s="126"/>
      <c r="D561" s="126" t="s">
        <v>427</v>
      </c>
      <c r="E561" s="126"/>
      <c r="F561" s="126" t="s">
        <v>431</v>
      </c>
      <c r="G561" s="126"/>
      <c r="H561" s="126"/>
      <c r="I561" s="126"/>
      <c r="J561" s="126"/>
      <c r="K561" s="126"/>
      <c r="L561" s="126"/>
      <c r="M561" s="126"/>
      <c r="N561" s="126"/>
      <c r="O561" s="126"/>
      <c r="P561" s="126" t="s">
        <v>429</v>
      </c>
      <c r="Q561" s="126"/>
    </row>
    <row r="562" spans="2:17" x14ac:dyDescent="0.25">
      <c r="B562" s="126" t="s">
        <v>432</v>
      </c>
      <c r="C562" s="126"/>
      <c r="D562" s="126" t="s">
        <v>427</v>
      </c>
      <c r="E562" s="126"/>
      <c r="F562" s="126" t="s">
        <v>750</v>
      </c>
      <c r="G562" s="126"/>
      <c r="H562" s="126"/>
      <c r="I562" s="126"/>
      <c r="J562" s="126"/>
      <c r="K562" s="126"/>
      <c r="L562" s="126"/>
      <c r="M562" s="126"/>
      <c r="N562" s="126"/>
      <c r="O562" s="126"/>
      <c r="P562" s="126" t="s">
        <v>429</v>
      </c>
      <c r="Q562" s="126"/>
    </row>
    <row r="563" spans="2:17" x14ac:dyDescent="0.25">
      <c r="B563" s="126" t="s">
        <v>433</v>
      </c>
      <c r="C563" s="126"/>
      <c r="D563" s="126" t="s">
        <v>427</v>
      </c>
      <c r="E563" s="126"/>
      <c r="F563" s="126" t="s">
        <v>434</v>
      </c>
      <c r="G563" s="126"/>
      <c r="H563" s="126"/>
      <c r="I563" s="126"/>
      <c r="J563" s="126"/>
      <c r="K563" s="126"/>
      <c r="L563" s="126"/>
      <c r="M563" s="126"/>
      <c r="N563" s="126"/>
      <c r="O563" s="126"/>
      <c r="P563" s="126" t="s">
        <v>429</v>
      </c>
      <c r="Q563" s="126"/>
    </row>
    <row r="564" spans="2:17" x14ac:dyDescent="0.25">
      <c r="B564" s="126" t="s">
        <v>435</v>
      </c>
      <c r="C564" s="126"/>
      <c r="D564" s="126" t="s">
        <v>427</v>
      </c>
      <c r="E564" s="126"/>
      <c r="F564" s="126" t="s">
        <v>436</v>
      </c>
      <c r="G564" s="126"/>
      <c r="H564" s="126"/>
      <c r="I564" s="126"/>
      <c r="J564" s="126"/>
      <c r="K564" s="126"/>
      <c r="L564" s="126"/>
      <c r="M564" s="126"/>
      <c r="N564" s="126"/>
      <c r="O564" s="126"/>
      <c r="P564" s="126" t="s">
        <v>429</v>
      </c>
      <c r="Q564" s="126"/>
    </row>
    <row r="565" spans="2:17" x14ac:dyDescent="0.25">
      <c r="B565" s="126" t="s">
        <v>328</v>
      </c>
      <c r="C565" s="126"/>
      <c r="D565" s="126" t="s">
        <v>437</v>
      </c>
      <c r="E565" s="126"/>
      <c r="F565" s="126" t="s">
        <v>438</v>
      </c>
      <c r="G565" s="126"/>
      <c r="H565" s="126"/>
      <c r="I565" s="126"/>
      <c r="J565" s="126"/>
      <c r="K565" s="126"/>
      <c r="L565" s="126"/>
      <c r="M565" s="126"/>
      <c r="N565" s="126"/>
      <c r="O565" s="126"/>
      <c r="P565" s="126" t="s">
        <v>276</v>
      </c>
      <c r="Q565" s="126"/>
    </row>
    <row r="566" spans="2:17" x14ac:dyDescent="0.25">
      <c r="B566" s="126" t="s">
        <v>439</v>
      </c>
      <c r="C566" s="126"/>
      <c r="D566" s="126" t="s">
        <v>437</v>
      </c>
      <c r="E566" s="126"/>
      <c r="F566" s="126" t="s">
        <v>440</v>
      </c>
      <c r="G566" s="126"/>
      <c r="H566" s="126"/>
      <c r="I566" s="126"/>
      <c r="J566" s="126"/>
      <c r="K566" s="126"/>
      <c r="L566" s="126"/>
      <c r="M566" s="126"/>
      <c r="N566" s="126"/>
      <c r="O566" s="126"/>
      <c r="P566" s="126" t="s">
        <v>276</v>
      </c>
      <c r="Q566" s="126"/>
    </row>
    <row r="567" spans="2:17" x14ac:dyDescent="0.25">
      <c r="B567" s="126" t="s">
        <v>441</v>
      </c>
      <c r="C567" s="126"/>
      <c r="D567" s="126" t="s">
        <v>437</v>
      </c>
      <c r="E567" s="126"/>
      <c r="F567" s="126" t="s">
        <v>442</v>
      </c>
      <c r="G567" s="126"/>
      <c r="H567" s="126"/>
      <c r="I567" s="126"/>
      <c r="J567" s="126"/>
      <c r="K567" s="126"/>
      <c r="L567" s="126"/>
      <c r="M567" s="126"/>
      <c r="N567" s="126"/>
      <c r="O567" s="126"/>
      <c r="P567" s="126" t="s">
        <v>276</v>
      </c>
      <c r="Q567" s="126"/>
    </row>
    <row r="568" spans="2:17" x14ac:dyDescent="0.25">
      <c r="B568" s="126" t="s">
        <v>443</v>
      </c>
      <c r="C568" s="126"/>
      <c r="D568" s="126" t="s">
        <v>437</v>
      </c>
      <c r="E568" s="126"/>
      <c r="F568" s="126" t="s">
        <v>444</v>
      </c>
      <c r="G568" s="126"/>
      <c r="H568" s="126"/>
      <c r="I568" s="126"/>
      <c r="J568" s="126"/>
      <c r="K568" s="126"/>
      <c r="L568" s="126"/>
      <c r="M568" s="126"/>
      <c r="N568" s="126"/>
      <c r="O568" s="126"/>
      <c r="P568" s="126" t="s">
        <v>276</v>
      </c>
      <c r="Q568" s="126"/>
    </row>
    <row r="569" spans="2:17" x14ac:dyDescent="0.25">
      <c r="B569" s="126" t="s">
        <v>445</v>
      </c>
      <c r="C569" s="126"/>
      <c r="D569" s="126" t="s">
        <v>437</v>
      </c>
      <c r="E569" s="126"/>
      <c r="F569" s="126" t="s">
        <v>446</v>
      </c>
      <c r="G569" s="126"/>
      <c r="H569" s="126"/>
      <c r="I569" s="126"/>
      <c r="J569" s="126"/>
      <c r="K569" s="126"/>
      <c r="L569" s="126"/>
      <c r="M569" s="126"/>
      <c r="N569" s="126"/>
      <c r="O569" s="126"/>
      <c r="P569" s="126" t="s">
        <v>276</v>
      </c>
      <c r="Q569" s="126"/>
    </row>
    <row r="570" spans="2:17" x14ac:dyDescent="0.25">
      <c r="B570" s="126" t="s">
        <v>447</v>
      </c>
      <c r="C570" s="126"/>
      <c r="D570" s="126" t="s">
        <v>437</v>
      </c>
      <c r="E570" s="126"/>
      <c r="F570" s="126" t="s">
        <v>448</v>
      </c>
      <c r="G570" s="126"/>
      <c r="H570" s="126"/>
      <c r="I570" s="126"/>
      <c r="J570" s="126"/>
      <c r="K570" s="126"/>
      <c r="L570" s="126"/>
      <c r="M570" s="126"/>
      <c r="N570" s="126"/>
      <c r="O570" s="126"/>
      <c r="P570" s="126" t="s">
        <v>276</v>
      </c>
      <c r="Q570" s="126"/>
    </row>
    <row r="571" spans="2:17" x14ac:dyDescent="0.25">
      <c r="B571" s="126" t="s">
        <v>595</v>
      </c>
      <c r="C571" s="126"/>
      <c r="D571" s="126" t="s">
        <v>594</v>
      </c>
      <c r="E571" s="126"/>
      <c r="F571" s="126" t="s">
        <v>596</v>
      </c>
      <c r="G571" s="126"/>
      <c r="H571" s="126"/>
      <c r="I571" s="126"/>
      <c r="J571" s="126"/>
      <c r="K571" s="126"/>
      <c r="L571" s="126"/>
      <c r="M571" s="126"/>
      <c r="N571" s="126"/>
      <c r="O571" s="126"/>
      <c r="P571" s="126" t="s">
        <v>597</v>
      </c>
      <c r="Q571" s="126"/>
    </row>
    <row r="572" spans="2:17" x14ac:dyDescent="0.25">
      <c r="B572" s="126" t="s">
        <v>598</v>
      </c>
      <c r="C572" s="126"/>
      <c r="D572" s="126" t="s">
        <v>594</v>
      </c>
      <c r="E572" s="126"/>
      <c r="F572" s="126" t="s">
        <v>599</v>
      </c>
      <c r="G572" s="126"/>
      <c r="H572" s="126"/>
      <c r="I572" s="126"/>
      <c r="J572" s="126"/>
      <c r="K572" s="126"/>
      <c r="L572" s="126"/>
      <c r="M572" s="126"/>
      <c r="N572" s="126"/>
      <c r="O572" s="126"/>
      <c r="P572" s="126" t="s">
        <v>597</v>
      </c>
      <c r="Q572" s="126"/>
    </row>
    <row r="573" spans="2:17" x14ac:dyDescent="0.25">
      <c r="B573" s="126" t="s">
        <v>509</v>
      </c>
      <c r="C573" s="126"/>
      <c r="D573" s="126" t="s">
        <v>594</v>
      </c>
      <c r="E573" s="126"/>
      <c r="F573" s="126" t="s">
        <v>600</v>
      </c>
      <c r="G573" s="126"/>
      <c r="H573" s="126"/>
      <c r="I573" s="126"/>
      <c r="J573" s="126"/>
      <c r="K573" s="126"/>
      <c r="L573" s="126"/>
      <c r="M573" s="126"/>
      <c r="N573" s="126"/>
      <c r="O573" s="126"/>
      <c r="P573" s="126" t="s">
        <v>597</v>
      </c>
      <c r="Q573" s="126"/>
    </row>
    <row r="574" spans="2:17" x14ac:dyDescent="0.25">
      <c r="B574" s="126" t="s">
        <v>601</v>
      </c>
      <c r="C574" s="126"/>
      <c r="D574" s="126" t="s">
        <v>594</v>
      </c>
      <c r="E574" s="126"/>
      <c r="F574" s="126" t="s">
        <v>602</v>
      </c>
      <c r="G574" s="126"/>
      <c r="H574" s="126"/>
      <c r="I574" s="126"/>
      <c r="J574" s="126"/>
      <c r="K574" s="126"/>
      <c r="L574" s="126"/>
      <c r="M574" s="126"/>
      <c r="N574" s="126"/>
      <c r="O574" s="126"/>
      <c r="P574" s="126" t="s">
        <v>597</v>
      </c>
      <c r="Q574" s="126"/>
    </row>
    <row r="575" spans="2:17" x14ac:dyDescent="0.25">
      <c r="B575" s="126" t="s">
        <v>603</v>
      </c>
      <c r="C575" s="126"/>
      <c r="D575" s="126" t="s">
        <v>604</v>
      </c>
      <c r="E575" s="126"/>
      <c r="F575" s="126" t="s">
        <v>605</v>
      </c>
      <c r="G575" s="126"/>
      <c r="H575" s="126"/>
      <c r="I575" s="126"/>
      <c r="J575" s="126"/>
      <c r="K575" s="126"/>
      <c r="L575" s="126"/>
      <c r="M575" s="126"/>
      <c r="N575" s="126"/>
      <c r="O575" s="126"/>
      <c r="P575" s="126" t="s">
        <v>606</v>
      </c>
      <c r="Q575" s="126"/>
    </row>
    <row r="576" spans="2:17" x14ac:dyDescent="0.25">
      <c r="B576" s="126" t="s">
        <v>607</v>
      </c>
      <c r="C576" s="126"/>
      <c r="D576" s="126" t="s">
        <v>604</v>
      </c>
      <c r="E576" s="126"/>
      <c r="F576" s="126" t="s">
        <v>608</v>
      </c>
      <c r="G576" s="126"/>
      <c r="H576" s="126"/>
      <c r="I576" s="126"/>
      <c r="J576" s="126"/>
      <c r="K576" s="126"/>
      <c r="L576" s="126"/>
      <c r="M576" s="126"/>
      <c r="N576" s="126"/>
      <c r="O576" s="126"/>
      <c r="P576" s="126" t="s">
        <v>606</v>
      </c>
      <c r="Q576" s="126"/>
    </row>
    <row r="577" spans="2:17" x14ac:dyDescent="0.25">
      <c r="B577" s="126" t="s">
        <v>609</v>
      </c>
      <c r="C577" s="126"/>
      <c r="D577" s="126" t="s">
        <v>604</v>
      </c>
      <c r="E577" s="126"/>
      <c r="F577" s="126" t="s">
        <v>610</v>
      </c>
      <c r="G577" s="126"/>
      <c r="H577" s="126"/>
      <c r="I577" s="126"/>
      <c r="J577" s="126"/>
      <c r="K577" s="126"/>
      <c r="L577" s="126"/>
      <c r="M577" s="126"/>
      <c r="N577" s="126"/>
      <c r="O577" s="126"/>
      <c r="P577" s="126" t="s">
        <v>606</v>
      </c>
      <c r="Q577" s="126"/>
    </row>
    <row r="578" spans="2:17" x14ac:dyDescent="0.25">
      <c r="B578" s="126" t="s">
        <v>611</v>
      </c>
      <c r="C578" s="126"/>
      <c r="D578" s="126" t="s">
        <v>604</v>
      </c>
      <c r="E578" s="126"/>
      <c r="F578" s="126" t="s">
        <v>612</v>
      </c>
      <c r="G578" s="126"/>
      <c r="H578" s="126"/>
      <c r="I578" s="126"/>
      <c r="J578" s="126"/>
      <c r="K578" s="126"/>
      <c r="L578" s="126"/>
      <c r="M578" s="126"/>
      <c r="N578" s="126"/>
      <c r="O578" s="126"/>
      <c r="P578" s="126" t="s">
        <v>606</v>
      </c>
      <c r="Q578" s="126"/>
    </row>
    <row r="579" spans="2:17" x14ac:dyDescent="0.25">
      <c r="B579" s="126" t="s">
        <v>613</v>
      </c>
      <c r="C579" s="126"/>
      <c r="D579" s="126" t="s">
        <v>604</v>
      </c>
      <c r="E579" s="126"/>
      <c r="F579" s="126" t="s">
        <v>614</v>
      </c>
      <c r="G579" s="126"/>
      <c r="H579" s="126"/>
      <c r="I579" s="126"/>
      <c r="J579" s="126"/>
      <c r="K579" s="126"/>
      <c r="L579" s="126"/>
      <c r="M579" s="126"/>
      <c r="N579" s="126"/>
      <c r="O579" s="126"/>
      <c r="P579" s="126" t="s">
        <v>606</v>
      </c>
      <c r="Q579" s="126"/>
    </row>
    <row r="580" spans="2:17" x14ac:dyDescent="0.25">
      <c r="B580" s="126" t="s">
        <v>616</v>
      </c>
      <c r="C580" s="126"/>
      <c r="D580" s="126" t="s">
        <v>615</v>
      </c>
      <c r="E580" s="126"/>
      <c r="F580" s="126" t="s">
        <v>617</v>
      </c>
      <c r="G580" s="126"/>
      <c r="H580" s="126"/>
      <c r="I580" s="126"/>
      <c r="J580" s="126"/>
      <c r="K580" s="126"/>
      <c r="L580" s="126"/>
      <c r="M580" s="126"/>
      <c r="N580" s="126"/>
      <c r="O580" s="126"/>
      <c r="P580" s="126" t="s">
        <v>618</v>
      </c>
      <c r="Q580" s="126"/>
    </row>
    <row r="581" spans="2:17" x14ac:dyDescent="0.25">
      <c r="B581" s="126" t="s">
        <v>619</v>
      </c>
      <c r="C581" s="126"/>
      <c r="D581" s="126" t="s">
        <v>615</v>
      </c>
      <c r="E581" s="126"/>
      <c r="F581" s="126" t="s">
        <v>620</v>
      </c>
      <c r="G581" s="126"/>
      <c r="H581" s="126"/>
      <c r="I581" s="126"/>
      <c r="J581" s="126"/>
      <c r="K581" s="126"/>
      <c r="L581" s="126"/>
      <c r="M581" s="126"/>
      <c r="N581" s="126"/>
      <c r="O581" s="126"/>
      <c r="P581" s="126" t="s">
        <v>618</v>
      </c>
      <c r="Q581" s="126"/>
    </row>
    <row r="582" spans="2:17" x14ac:dyDescent="0.25">
      <c r="B582" s="126" t="s">
        <v>621</v>
      </c>
      <c r="C582" s="126"/>
      <c r="D582" s="126" t="s">
        <v>615</v>
      </c>
      <c r="E582" s="126"/>
      <c r="F582" s="126" t="str">
        <f>"Gain a +"&amp;D482&amp;" bonus on Bluff and Disguise checks, and an additional +4 untyped versus evil outsiders."</f>
        <v>Gain a + bonus on Bluff and Disguise checks, and an additional +4 untyped versus evil outsiders.</v>
      </c>
      <c r="G582" s="126"/>
      <c r="H582" s="126"/>
      <c r="I582" s="126"/>
      <c r="J582" s="126"/>
      <c r="K582" s="126"/>
      <c r="L582" s="126"/>
      <c r="M582" s="126"/>
      <c r="N582" s="126"/>
      <c r="O582" s="126"/>
      <c r="P582" s="126" t="s">
        <v>618</v>
      </c>
      <c r="Q582" s="126"/>
    </row>
    <row r="583" spans="2:17" x14ac:dyDescent="0.25">
      <c r="B583" s="126" t="s">
        <v>622</v>
      </c>
      <c r="C583" s="126"/>
      <c r="D583" s="126" t="s">
        <v>615</v>
      </c>
      <c r="E583" s="126"/>
      <c r="F583" s="126" t="s">
        <v>623</v>
      </c>
      <c r="G583" s="126"/>
      <c r="H583" s="126"/>
      <c r="I583" s="126"/>
      <c r="J583" s="126"/>
      <c r="K583" s="126"/>
      <c r="L583" s="126"/>
      <c r="M583" s="126"/>
      <c r="N583" s="126"/>
      <c r="O583" s="126"/>
      <c r="P583" s="126" t="s">
        <v>618</v>
      </c>
      <c r="Q583" s="126"/>
    </row>
    <row r="584" spans="2:17" x14ac:dyDescent="0.25">
      <c r="B584" s="126" t="s">
        <v>460</v>
      </c>
      <c r="C584" s="126"/>
      <c r="D584" s="126" t="s">
        <v>461</v>
      </c>
      <c r="E584" s="126"/>
      <c r="F584" s="126" t="s">
        <v>462</v>
      </c>
      <c r="G584" s="126"/>
      <c r="H584" s="126"/>
      <c r="I584" s="126"/>
      <c r="J584" s="126"/>
      <c r="K584" s="126"/>
      <c r="L584" s="126"/>
      <c r="M584" s="126"/>
      <c r="N584" s="126"/>
      <c r="O584" s="126"/>
      <c r="P584" s="126" t="s">
        <v>457</v>
      </c>
      <c r="Q584" s="126"/>
    </row>
    <row r="585" spans="2:17" x14ac:dyDescent="0.25">
      <c r="B585" s="126" t="s">
        <v>463</v>
      </c>
      <c r="C585" s="126"/>
      <c r="D585" s="126" t="s">
        <v>461</v>
      </c>
      <c r="E585" s="126"/>
      <c r="F585" s="126" t="s">
        <v>464</v>
      </c>
      <c r="G585" s="126"/>
      <c r="H585" s="126"/>
      <c r="I585" s="126"/>
      <c r="J585" s="126"/>
      <c r="K585" s="126"/>
      <c r="L585" s="126"/>
      <c r="M585" s="126"/>
      <c r="N585" s="126"/>
      <c r="O585" s="126"/>
      <c r="P585" s="126" t="s">
        <v>457</v>
      </c>
      <c r="Q585" s="126"/>
    </row>
    <row r="586" spans="2:17" x14ac:dyDescent="0.25">
      <c r="B586" s="126" t="s">
        <v>465</v>
      </c>
      <c r="C586" s="126"/>
      <c r="D586" s="126" t="s">
        <v>461</v>
      </c>
      <c r="E586" s="126"/>
      <c r="F586" s="126" t="s">
        <v>466</v>
      </c>
      <c r="G586" s="126"/>
      <c r="H586" s="126"/>
      <c r="I586" s="126"/>
      <c r="J586" s="126"/>
      <c r="K586" s="126"/>
      <c r="L586" s="126"/>
      <c r="M586" s="126"/>
      <c r="N586" s="126"/>
      <c r="O586" s="126"/>
      <c r="P586" s="126" t="s">
        <v>457</v>
      </c>
      <c r="Q586" s="126"/>
    </row>
    <row r="587" spans="2:17" x14ac:dyDescent="0.25">
      <c r="B587" s="126" t="s">
        <v>467</v>
      </c>
      <c r="C587" s="126"/>
      <c r="D587" s="126" t="s">
        <v>461</v>
      </c>
      <c r="E587" s="126"/>
      <c r="F587" s="126" t="s">
        <v>468</v>
      </c>
      <c r="G587" s="126"/>
      <c r="H587" s="126"/>
      <c r="I587" s="126"/>
      <c r="J587" s="126"/>
      <c r="K587" s="126"/>
      <c r="L587" s="126"/>
      <c r="M587" s="126"/>
      <c r="N587" s="126"/>
      <c r="O587" s="126"/>
      <c r="P587" s="126" t="s">
        <v>457</v>
      </c>
      <c r="Q587" s="126"/>
    </row>
    <row r="588" spans="2:17" x14ac:dyDescent="0.25">
      <c r="B588" s="126" t="s">
        <v>469</v>
      </c>
      <c r="C588" s="126"/>
      <c r="D588" s="126" t="s">
        <v>461</v>
      </c>
      <c r="E588" s="126"/>
      <c r="F588" s="126" t="str">
        <f>"Able to cure 1 point of damage as a standard action with a touch, or 1d8+"&amp;IF(D482&gt;10,10,D482)&amp;" damage with a full-round action as a touch.  If the full-round action is used, cannot use the ability for another 5 rounds."</f>
        <v>Able to cure 1 point of damage as a standard action with a touch, or 1d8+ damage with a full-round action as a touch.  If the full-round action is used, cannot use the ability for another 5 rounds.</v>
      </c>
      <c r="G588" s="126"/>
      <c r="H588" s="126"/>
      <c r="I588" s="126"/>
      <c r="J588" s="126"/>
      <c r="K588" s="126"/>
      <c r="L588" s="126"/>
      <c r="M588" s="126"/>
      <c r="N588" s="126"/>
      <c r="O588" s="126"/>
      <c r="P588" s="126" t="s">
        <v>457</v>
      </c>
      <c r="Q588" s="126"/>
    </row>
    <row r="589" spans="2:17" x14ac:dyDescent="0.25">
      <c r="B589" s="126" t="s">
        <v>470</v>
      </c>
      <c r="C589" s="126"/>
      <c r="D589" s="126" t="s">
        <v>461</v>
      </c>
      <c r="E589" s="126"/>
      <c r="F589" s="126" t="s">
        <v>471</v>
      </c>
      <c r="G589" s="126"/>
      <c r="H589" s="126"/>
      <c r="I589" s="126"/>
      <c r="J589" s="126"/>
      <c r="K589" s="126"/>
      <c r="L589" s="126"/>
      <c r="M589" s="126"/>
      <c r="N589" s="126"/>
      <c r="O589" s="126"/>
      <c r="P589" s="126" t="s">
        <v>457</v>
      </c>
      <c r="Q589" s="126"/>
    </row>
    <row r="590" spans="2:17" x14ac:dyDescent="0.25">
      <c r="B590" s="126" t="s">
        <v>624</v>
      </c>
      <c r="C590" s="126"/>
      <c r="D590" s="126" t="s">
        <v>625</v>
      </c>
      <c r="E590" s="126"/>
      <c r="F590" s="126" t="s">
        <v>626</v>
      </c>
      <c r="G590" s="126"/>
      <c r="H590" s="126"/>
      <c r="I590" s="126"/>
      <c r="J590" s="126"/>
      <c r="K590" s="126"/>
      <c r="L590" s="126"/>
      <c r="M590" s="126"/>
      <c r="N590" s="126"/>
      <c r="O590" s="126"/>
      <c r="P590" s="126" t="s">
        <v>627</v>
      </c>
      <c r="Q590" s="126"/>
    </row>
    <row r="591" spans="2:17" x14ac:dyDescent="0.25">
      <c r="B591" s="126" t="s">
        <v>628</v>
      </c>
      <c r="C591" s="126"/>
      <c r="D591" s="126" t="s">
        <v>625</v>
      </c>
      <c r="E591" s="126"/>
      <c r="F591" s="126" t="s">
        <v>629</v>
      </c>
      <c r="G591" s="126"/>
      <c r="H591" s="126"/>
      <c r="I591" s="126"/>
      <c r="J591" s="126"/>
      <c r="K591" s="126"/>
      <c r="L591" s="126"/>
      <c r="M591" s="126"/>
      <c r="N591" s="126"/>
      <c r="O591" s="126"/>
      <c r="P591" s="126" t="s">
        <v>627</v>
      </c>
      <c r="Q591" s="126"/>
    </row>
    <row r="592" spans="2:17" x14ac:dyDescent="0.25">
      <c r="B592" s="126" t="s">
        <v>630</v>
      </c>
      <c r="C592" s="126"/>
      <c r="D592" s="126" t="s">
        <v>625</v>
      </c>
      <c r="E592" s="126"/>
      <c r="F592" s="126" t="s">
        <v>631</v>
      </c>
      <c r="G592" s="126"/>
      <c r="H592" s="126"/>
      <c r="I592" s="126"/>
      <c r="J592" s="126"/>
      <c r="K592" s="126"/>
      <c r="L592" s="126"/>
      <c r="M592" s="126"/>
      <c r="N592" s="126"/>
      <c r="O592" s="126"/>
      <c r="P592" s="126" t="s">
        <v>627</v>
      </c>
      <c r="Q592" s="126"/>
    </row>
    <row r="593" spans="2:17" x14ac:dyDescent="0.25">
      <c r="B593" s="126" t="s">
        <v>632</v>
      </c>
      <c r="C593" s="126"/>
      <c r="D593" s="126" t="s">
        <v>625</v>
      </c>
      <c r="E593" s="126"/>
      <c r="F593" s="126" t="s">
        <v>633</v>
      </c>
      <c r="G593" s="126"/>
      <c r="H593" s="126"/>
      <c r="I593" s="126"/>
      <c r="J593" s="126"/>
      <c r="K593" s="126"/>
      <c r="L593" s="126"/>
      <c r="M593" s="126"/>
      <c r="N593" s="126"/>
      <c r="O593" s="126"/>
      <c r="P593" s="126" t="s">
        <v>627</v>
      </c>
      <c r="Q593" s="126"/>
    </row>
    <row r="594" spans="2:17" x14ac:dyDescent="0.25">
      <c r="B594" s="126" t="s">
        <v>506</v>
      </c>
      <c r="C594" s="126"/>
      <c r="D594" s="126" t="s">
        <v>507</v>
      </c>
      <c r="E594" s="126"/>
      <c r="F594" s="126" t="s">
        <v>508</v>
      </c>
      <c r="G594" s="126"/>
      <c r="H594" s="126"/>
      <c r="I594" s="126"/>
      <c r="J594" s="126"/>
      <c r="K594" s="126"/>
      <c r="L594" s="126"/>
      <c r="M594" s="126"/>
      <c r="N594" s="126"/>
      <c r="O594" s="126"/>
      <c r="P594" s="126" t="s">
        <v>315</v>
      </c>
      <c r="Q594" s="126"/>
    </row>
    <row r="595" spans="2:17" x14ac:dyDescent="0.25">
      <c r="B595" s="126" t="s">
        <v>509</v>
      </c>
      <c r="C595" s="126"/>
      <c r="D595" s="126" t="s">
        <v>507</v>
      </c>
      <c r="E595" s="126"/>
      <c r="F595" s="126" t="s">
        <v>510</v>
      </c>
      <c r="G595" s="126"/>
      <c r="H595" s="126"/>
      <c r="I595" s="126"/>
      <c r="J595" s="126"/>
      <c r="K595" s="126"/>
      <c r="L595" s="126"/>
      <c r="M595" s="126"/>
      <c r="N595" s="126"/>
      <c r="O595" s="126"/>
      <c r="P595" s="126" t="s">
        <v>315</v>
      </c>
      <c r="Q595" s="126"/>
    </row>
    <row r="596" spans="2:17" x14ac:dyDescent="0.25">
      <c r="B596" s="126" t="s">
        <v>511</v>
      </c>
      <c r="C596" s="126"/>
      <c r="D596" s="126" t="s">
        <v>507</v>
      </c>
      <c r="E596" s="126"/>
      <c r="F596" s="126" t="s">
        <v>512</v>
      </c>
      <c r="G596" s="126"/>
      <c r="H596" s="126"/>
      <c r="I596" s="126"/>
      <c r="J596" s="126"/>
      <c r="K596" s="126"/>
      <c r="L596" s="126"/>
      <c r="M596" s="126"/>
      <c r="N596" s="126"/>
      <c r="O596" s="126"/>
      <c r="P596" s="126" t="s">
        <v>315</v>
      </c>
      <c r="Q596" s="126"/>
    </row>
    <row r="597" spans="2:17" x14ac:dyDescent="0.25">
      <c r="B597" s="126" t="s">
        <v>513</v>
      </c>
      <c r="C597" s="126"/>
      <c r="D597" s="126" t="s">
        <v>507</v>
      </c>
      <c r="E597" s="126"/>
      <c r="F597" s="126" t="s">
        <v>514</v>
      </c>
      <c r="G597" s="126"/>
      <c r="H597" s="126"/>
      <c r="I597" s="126"/>
      <c r="J597" s="126"/>
      <c r="K597" s="126"/>
      <c r="L597" s="126"/>
      <c r="M597" s="126"/>
      <c r="N597" s="126"/>
      <c r="O597" s="126"/>
      <c r="P597" s="126" t="s">
        <v>315</v>
      </c>
      <c r="Q597" s="126"/>
    </row>
    <row r="598" spans="2:17" x14ac:dyDescent="0.25">
      <c r="B598" s="126" t="s">
        <v>515</v>
      </c>
      <c r="C598" s="126"/>
      <c r="D598" s="126" t="s">
        <v>507</v>
      </c>
      <c r="E598" s="126"/>
      <c r="F598" s="126" t="s">
        <v>516</v>
      </c>
      <c r="G598" s="126"/>
      <c r="H598" s="126"/>
      <c r="I598" s="126"/>
      <c r="J598" s="126"/>
      <c r="K598" s="126"/>
      <c r="L598" s="126"/>
      <c r="M598" s="126"/>
      <c r="N598" s="126"/>
      <c r="O598" s="126"/>
      <c r="P598" s="126" t="s">
        <v>315</v>
      </c>
      <c r="Q598" s="126"/>
    </row>
    <row r="599" spans="2:17" x14ac:dyDescent="0.25">
      <c r="B599" s="126" t="s">
        <v>634</v>
      </c>
      <c r="C599" s="126"/>
      <c r="D599" s="126" t="s">
        <v>635</v>
      </c>
      <c r="E599" s="126"/>
      <c r="F599" s="126" t="str">
        <f>"Whenever scoring a critical hit, target must make a will save, DC"&amp;10+ROUNDDOWN((D482/2),0)+J70&amp;" or be permanently blinded.  Additionally, all attacks can score critical hits and cause blinding on the undead."</f>
        <v>Whenever scoring a critical hit, target must make a will save, DC12 or be permanently blinded.  Additionally, all attacks can score critical hits and cause blinding on the undead.</v>
      </c>
      <c r="G599" s="126"/>
      <c r="H599" s="126"/>
      <c r="I599" s="126"/>
      <c r="J599" s="126"/>
      <c r="K599" s="126"/>
      <c r="L599" s="126"/>
      <c r="M599" s="126"/>
      <c r="N599" s="126"/>
      <c r="O599" s="126"/>
      <c r="P599" s="126" t="s">
        <v>636</v>
      </c>
      <c r="Q599" s="126"/>
    </row>
    <row r="600" spans="2:17" x14ac:dyDescent="0.25">
      <c r="B600" s="126" t="s">
        <v>637</v>
      </c>
      <c r="C600" s="126"/>
      <c r="D600" s="126" t="s">
        <v>635</v>
      </c>
      <c r="E600" s="126"/>
      <c r="F600" s="126" t="s">
        <v>638</v>
      </c>
      <c r="G600" s="126"/>
      <c r="H600" s="126"/>
      <c r="I600" s="126"/>
      <c r="J600" s="126"/>
      <c r="K600" s="126"/>
      <c r="L600" s="126"/>
      <c r="M600" s="126"/>
      <c r="N600" s="126"/>
      <c r="O600" s="126"/>
      <c r="P600" s="126" t="s">
        <v>636</v>
      </c>
      <c r="Q600" s="126"/>
    </row>
    <row r="601" spans="2:17" x14ac:dyDescent="0.25">
      <c r="B601" s="126" t="s">
        <v>639</v>
      </c>
      <c r="C601" s="126"/>
      <c r="D601" s="126" t="s">
        <v>635</v>
      </c>
      <c r="E601" s="126"/>
      <c r="F601" s="126" t="s">
        <v>640</v>
      </c>
      <c r="G601" s="126"/>
      <c r="H601" s="126"/>
      <c r="I601" s="126"/>
      <c r="J601" s="126"/>
      <c r="K601" s="126"/>
      <c r="L601" s="126"/>
      <c r="M601" s="126"/>
      <c r="N601" s="126"/>
      <c r="O601" s="126"/>
      <c r="P601" s="126" t="s">
        <v>636</v>
      </c>
      <c r="Q601" s="126"/>
    </row>
    <row r="602" spans="2:17" x14ac:dyDescent="0.25">
      <c r="B602" s="126" t="s">
        <v>641</v>
      </c>
      <c r="C602" s="126"/>
      <c r="D602" s="126" t="s">
        <v>635</v>
      </c>
      <c r="E602" s="126"/>
      <c r="F602" s="126" t="s">
        <v>642</v>
      </c>
      <c r="G602" s="126"/>
      <c r="H602" s="126"/>
      <c r="I602" s="126"/>
      <c r="J602" s="126"/>
      <c r="K602" s="126"/>
      <c r="L602" s="126"/>
      <c r="M602" s="126"/>
      <c r="N602" s="126"/>
      <c r="O602" s="126"/>
      <c r="P602" s="126" t="s">
        <v>636</v>
      </c>
      <c r="Q602" s="126"/>
    </row>
    <row r="603" spans="2:17" x14ac:dyDescent="0.25">
      <c r="B603" s="126" t="s">
        <v>328</v>
      </c>
      <c r="C603" s="126"/>
      <c r="D603" s="126" t="s">
        <v>635</v>
      </c>
      <c r="E603" s="126"/>
      <c r="F603" s="126" t="s">
        <v>643</v>
      </c>
      <c r="G603" s="126"/>
      <c r="H603" s="126"/>
      <c r="I603" s="126"/>
      <c r="J603" s="126"/>
      <c r="K603" s="126"/>
      <c r="L603" s="126"/>
      <c r="M603" s="126"/>
      <c r="N603" s="126"/>
      <c r="O603" s="126"/>
      <c r="P603" s="126" t="s">
        <v>636</v>
      </c>
      <c r="Q603" s="126"/>
    </row>
    <row r="604" spans="2:17" x14ac:dyDescent="0.25">
      <c r="B604" s="126" t="s">
        <v>644</v>
      </c>
      <c r="C604" s="126"/>
      <c r="D604" s="126" t="s">
        <v>645</v>
      </c>
      <c r="E604" s="126"/>
      <c r="F604" s="126" t="s">
        <v>646</v>
      </c>
      <c r="G604" s="126"/>
      <c r="H604" s="126"/>
      <c r="I604" s="126"/>
      <c r="J604" s="126"/>
      <c r="K604" s="126"/>
      <c r="L604" s="126"/>
      <c r="M604" s="126"/>
      <c r="N604" s="126"/>
      <c r="O604" s="126"/>
      <c r="P604" s="126" t="s">
        <v>647</v>
      </c>
      <c r="Q604" s="126"/>
    </row>
    <row r="605" spans="2:17" x14ac:dyDescent="0.25">
      <c r="B605" s="126" t="s">
        <v>523</v>
      </c>
      <c r="C605" s="126"/>
      <c r="D605" s="126" t="s">
        <v>645</v>
      </c>
      <c r="E605" s="126"/>
      <c r="F605" s="126" t="s">
        <v>648</v>
      </c>
      <c r="G605" s="126"/>
      <c r="H605" s="126"/>
      <c r="I605" s="126"/>
      <c r="J605" s="126"/>
      <c r="K605" s="126"/>
      <c r="L605" s="126"/>
      <c r="M605" s="126"/>
      <c r="N605" s="126"/>
      <c r="O605" s="126"/>
      <c r="P605" s="126" t="s">
        <v>647</v>
      </c>
      <c r="Q605" s="126"/>
    </row>
    <row r="606" spans="2:17" x14ac:dyDescent="0.25">
      <c r="B606" s="126" t="s">
        <v>649</v>
      </c>
      <c r="C606" s="126"/>
      <c r="D606" s="126" t="s">
        <v>645</v>
      </c>
      <c r="E606" s="126"/>
      <c r="F606" s="126" t="str">
        <f>"Charge a melee, or melee touch attack with cold energy; deals "&amp;1+FLOOR(MAX(0,((D482-7)/4)),1)&amp;"d8 extra cold damage.  At EBL 11 or higher, charge persists for a full round.  1/5 rounds."</f>
        <v>Charge a melee, or melee touch attack with cold energy; deals 1d8 extra cold damage.  At EBL 11 or higher, charge persists for a full round.  1/5 rounds.</v>
      </c>
      <c r="G606" s="126"/>
      <c r="H606" s="126"/>
      <c r="I606" s="126"/>
      <c r="J606" s="126"/>
      <c r="K606" s="126"/>
      <c r="L606" s="126"/>
      <c r="M606" s="126"/>
      <c r="N606" s="126"/>
      <c r="O606" s="126"/>
      <c r="P606" s="126" t="s">
        <v>647</v>
      </c>
      <c r="Q606" s="126"/>
    </row>
    <row r="607" spans="2:17" x14ac:dyDescent="0.25">
      <c r="B607" s="126" t="s">
        <v>650</v>
      </c>
      <c r="C607" s="126"/>
      <c r="D607" s="126" t="s">
        <v>645</v>
      </c>
      <c r="E607" s="126"/>
      <c r="F607" s="126" t="s">
        <v>651</v>
      </c>
      <c r="G607" s="126"/>
      <c r="H607" s="126"/>
      <c r="I607" s="126"/>
      <c r="J607" s="126"/>
      <c r="K607" s="126"/>
      <c r="L607" s="126"/>
      <c r="M607" s="126"/>
      <c r="N607" s="126"/>
      <c r="O607" s="126"/>
      <c r="P607" s="126" t="s">
        <v>647</v>
      </c>
      <c r="Q607" s="126"/>
    </row>
    <row r="608" spans="2:17" x14ac:dyDescent="0.25">
      <c r="B608" s="126" t="s">
        <v>652</v>
      </c>
      <c r="C608" s="126"/>
      <c r="D608" s="126" t="s">
        <v>645</v>
      </c>
      <c r="E608" s="126"/>
      <c r="F608" s="126" t="str">
        <f>"Can use the flicker shadow magic mystery "&amp;MAX(1,(D482-11),(D482-16))&amp;" times per day as a caster of EBL."</f>
        <v>Can use the flicker shadow magic mystery 1 times per day as a caster of EBL.</v>
      </c>
      <c r="G608" s="126"/>
      <c r="H608" s="126"/>
      <c r="I608" s="126"/>
      <c r="J608" s="126"/>
      <c r="K608" s="126"/>
      <c r="L608" s="126"/>
      <c r="M608" s="126"/>
      <c r="N608" s="126"/>
      <c r="O608" s="126"/>
      <c r="P608" s="126" t="s">
        <v>647</v>
      </c>
      <c r="Q608" s="126"/>
    </row>
    <row r="609" spans="2:17" x14ac:dyDescent="0.25">
      <c r="B609" s="126" t="s">
        <v>415</v>
      </c>
      <c r="C609" s="126"/>
      <c r="D609" s="126" t="s">
        <v>416</v>
      </c>
      <c r="E609" s="126"/>
      <c r="F609" s="126" t="s">
        <v>582</v>
      </c>
      <c r="G609" s="126"/>
      <c r="H609" s="126"/>
      <c r="I609" s="126"/>
      <c r="J609" s="126"/>
      <c r="K609" s="126"/>
      <c r="L609" s="126"/>
      <c r="M609" s="126"/>
      <c r="N609" s="126"/>
      <c r="O609" s="126"/>
      <c r="P609" s="126" t="s">
        <v>417</v>
      </c>
      <c r="Q609" s="126"/>
    </row>
    <row r="610" spans="2:17" x14ac:dyDescent="0.25">
      <c r="B610" s="126" t="s">
        <v>418</v>
      </c>
      <c r="C610" s="126"/>
      <c r="D610" s="126" t="s">
        <v>416</v>
      </c>
      <c r="E610" s="126"/>
      <c r="F610" s="126" t="s">
        <v>583</v>
      </c>
      <c r="G610" s="126"/>
      <c r="H610" s="126"/>
      <c r="I610" s="126"/>
      <c r="J610" s="126"/>
      <c r="K610" s="126"/>
      <c r="L610" s="126"/>
      <c r="M610" s="126"/>
      <c r="N610" s="126"/>
      <c r="O610" s="126"/>
      <c r="P610" s="126" t="s">
        <v>417</v>
      </c>
      <c r="Q610" s="126"/>
    </row>
    <row r="611" spans="2:17" x14ac:dyDescent="0.25">
      <c r="B611" s="126" t="s">
        <v>419</v>
      </c>
      <c r="C611" s="126"/>
      <c r="D611" s="126" t="s">
        <v>416</v>
      </c>
      <c r="E611" s="126"/>
      <c r="F611" s="126" t="s">
        <v>420</v>
      </c>
      <c r="G611" s="126"/>
      <c r="H611" s="126"/>
      <c r="I611" s="126"/>
      <c r="J611" s="126"/>
      <c r="K611" s="126"/>
      <c r="L611" s="126"/>
      <c r="M611" s="126"/>
      <c r="N611" s="126"/>
      <c r="O611" s="126"/>
      <c r="P611" s="126" t="s">
        <v>417</v>
      </c>
      <c r="Q611" s="126"/>
    </row>
    <row r="612" spans="2:17" x14ac:dyDescent="0.25">
      <c r="B612" s="126" t="s">
        <v>421</v>
      </c>
      <c r="C612" s="126"/>
      <c r="D612" s="126" t="s">
        <v>416</v>
      </c>
      <c r="E612" s="126"/>
      <c r="F612" s="126" t="s">
        <v>422</v>
      </c>
      <c r="G612" s="126"/>
      <c r="H612" s="126"/>
      <c r="I612" s="126"/>
      <c r="J612" s="126"/>
      <c r="K612" s="126"/>
      <c r="L612" s="126"/>
      <c r="M612" s="126"/>
      <c r="N612" s="126"/>
      <c r="O612" s="126"/>
      <c r="P612" s="126" t="s">
        <v>417</v>
      </c>
      <c r="Q612" s="126"/>
    </row>
    <row r="613" spans="2:17" x14ac:dyDescent="0.25">
      <c r="B613" s="126" t="s">
        <v>423</v>
      </c>
      <c r="C613" s="126"/>
      <c r="D613" s="126" t="s">
        <v>416</v>
      </c>
      <c r="E613" s="126"/>
      <c r="F613" s="126" t="s">
        <v>584</v>
      </c>
      <c r="G613" s="126"/>
      <c r="H613" s="126"/>
      <c r="I613" s="126"/>
      <c r="J613" s="126"/>
      <c r="K613" s="126"/>
      <c r="L613" s="126"/>
      <c r="M613" s="126"/>
      <c r="N613" s="126"/>
      <c r="O613" s="126"/>
      <c r="P613" s="126" t="s">
        <v>417</v>
      </c>
      <c r="Q613" s="126"/>
    </row>
    <row r="614" spans="2:17" x14ac:dyDescent="0.25">
      <c r="B614" s="126" t="s">
        <v>424</v>
      </c>
      <c r="C614" s="126"/>
      <c r="D614" s="126" t="s">
        <v>416</v>
      </c>
      <c r="E614" s="126"/>
      <c r="F614" s="126" t="s">
        <v>425</v>
      </c>
      <c r="G614" s="126"/>
      <c r="H614" s="126"/>
      <c r="I614" s="126"/>
      <c r="J614" s="126"/>
      <c r="K614" s="126"/>
      <c r="L614" s="126"/>
      <c r="M614" s="126"/>
      <c r="N614" s="126"/>
      <c r="O614" s="126"/>
      <c r="P614" s="126" t="s">
        <v>417</v>
      </c>
      <c r="Q614" s="126"/>
    </row>
    <row r="615" spans="2:17" x14ac:dyDescent="0.25">
      <c r="B615" s="126" t="s">
        <v>449</v>
      </c>
      <c r="C615" s="126"/>
      <c r="D615" s="126" t="s">
        <v>450</v>
      </c>
      <c r="E615" s="126"/>
      <c r="F615" s="126" t="s">
        <v>451</v>
      </c>
      <c r="G615" s="126"/>
      <c r="H615" s="126"/>
      <c r="I615" s="126"/>
      <c r="J615" s="126"/>
      <c r="K615" s="126"/>
      <c r="L615" s="126"/>
      <c r="M615" s="126"/>
      <c r="N615" s="126"/>
      <c r="O615" s="126"/>
      <c r="P615" s="126" t="s">
        <v>452</v>
      </c>
      <c r="Q615" s="126"/>
    </row>
    <row r="616" spans="2:17" x14ac:dyDescent="0.25">
      <c r="B616" s="126" t="s">
        <v>453</v>
      </c>
      <c r="C616" s="126"/>
      <c r="D616" s="126" t="s">
        <v>450</v>
      </c>
      <c r="E616" s="126"/>
      <c r="F616" s="126" t="s">
        <v>454</v>
      </c>
      <c r="G616" s="126"/>
      <c r="H616" s="126"/>
      <c r="I616" s="126"/>
      <c r="J616" s="126"/>
      <c r="K616" s="126"/>
      <c r="L616" s="126"/>
      <c r="M616" s="126"/>
      <c r="N616" s="126"/>
      <c r="O616" s="126"/>
      <c r="P616" s="126" t="s">
        <v>452</v>
      </c>
      <c r="Q616" s="126"/>
    </row>
    <row r="617" spans="2:17" x14ac:dyDescent="0.25">
      <c r="B617" s="126" t="s">
        <v>455</v>
      </c>
      <c r="C617" s="126"/>
      <c r="D617" s="126" t="s">
        <v>450</v>
      </c>
      <c r="E617" s="126"/>
      <c r="F617" s="126" t="s">
        <v>456</v>
      </c>
      <c r="G617" s="126"/>
      <c r="H617" s="126"/>
      <c r="I617" s="126"/>
      <c r="J617" s="126"/>
      <c r="K617" s="126"/>
      <c r="L617" s="126"/>
      <c r="M617" s="126"/>
      <c r="N617" s="126"/>
      <c r="O617" s="126"/>
      <c r="P617" s="126" t="s">
        <v>457</v>
      </c>
      <c r="Q617" s="126"/>
    </row>
    <row r="618" spans="2:17" x14ac:dyDescent="0.25">
      <c r="B618" s="126" t="s">
        <v>458</v>
      </c>
      <c r="C618" s="126"/>
      <c r="D618" s="126" t="s">
        <v>450</v>
      </c>
      <c r="E618" s="126"/>
      <c r="F618" s="126" t="s">
        <v>459</v>
      </c>
      <c r="G618" s="126"/>
      <c r="H618" s="126"/>
      <c r="I618" s="126"/>
      <c r="J618" s="126"/>
      <c r="K618" s="126"/>
      <c r="L618" s="126"/>
      <c r="M618" s="126"/>
      <c r="N618" s="126"/>
      <c r="O618" s="126"/>
      <c r="P618" s="126" t="s">
        <v>457</v>
      </c>
      <c r="Q618" s="126"/>
    </row>
    <row r="619" spans="2:17" x14ac:dyDescent="0.25">
      <c r="B619" s="126" t="s">
        <v>484</v>
      </c>
      <c r="C619" s="126"/>
      <c r="D619" s="126" t="s">
        <v>485</v>
      </c>
      <c r="E619" s="126"/>
      <c r="F619" s="126" t="s">
        <v>486</v>
      </c>
      <c r="G619" s="126"/>
      <c r="H619" s="126"/>
      <c r="I619" s="126"/>
      <c r="J619" s="126"/>
      <c r="K619" s="126"/>
      <c r="L619" s="126"/>
      <c r="M619" s="126"/>
      <c r="N619" s="126"/>
      <c r="O619" s="126"/>
      <c r="P619" s="126" t="s">
        <v>487</v>
      </c>
      <c r="Q619" s="126"/>
    </row>
    <row r="620" spans="2:17" x14ac:dyDescent="0.25">
      <c r="B620" s="126" t="s">
        <v>488</v>
      </c>
      <c r="C620" s="126"/>
      <c r="D620" s="126" t="s">
        <v>485</v>
      </c>
      <c r="E620" s="126"/>
      <c r="F620" s="126" t="s">
        <v>489</v>
      </c>
      <c r="G620" s="126"/>
      <c r="H620" s="126"/>
      <c r="I620" s="126"/>
      <c r="J620" s="126"/>
      <c r="K620" s="126"/>
      <c r="L620" s="126"/>
      <c r="M620" s="126"/>
      <c r="N620" s="126"/>
      <c r="O620" s="126"/>
      <c r="P620" s="126" t="s">
        <v>487</v>
      </c>
      <c r="Q620" s="126"/>
    </row>
    <row r="621" spans="2:17" x14ac:dyDescent="0.25">
      <c r="B621" s="126" t="s">
        <v>490</v>
      </c>
      <c r="C621" s="126"/>
      <c r="D621" s="126" t="s">
        <v>485</v>
      </c>
      <c r="E621" s="126"/>
      <c r="F621" s="126" t="s">
        <v>491</v>
      </c>
      <c r="G621" s="126"/>
      <c r="H621" s="126"/>
      <c r="I621" s="126"/>
      <c r="J621" s="126"/>
      <c r="K621" s="126"/>
      <c r="L621" s="126"/>
      <c r="M621" s="126"/>
      <c r="N621" s="126"/>
      <c r="O621" s="126"/>
      <c r="P621" s="126" t="s">
        <v>487</v>
      </c>
      <c r="Q621" s="126"/>
    </row>
    <row r="622" spans="2:17" x14ac:dyDescent="0.25">
      <c r="B622" s="126" t="s">
        <v>492</v>
      </c>
      <c r="C622" s="126"/>
      <c r="D622" s="126" t="s">
        <v>485</v>
      </c>
      <c r="E622" s="126"/>
      <c r="F622" s="126" t="s">
        <v>493</v>
      </c>
      <c r="G622" s="126"/>
      <c r="H622" s="126"/>
      <c r="I622" s="126"/>
      <c r="J622" s="126"/>
      <c r="K622" s="126"/>
      <c r="L622" s="126"/>
      <c r="M622" s="126"/>
      <c r="N622" s="126"/>
      <c r="O622" s="126"/>
      <c r="P622" s="126" t="s">
        <v>487</v>
      </c>
      <c r="Q622" s="126"/>
    </row>
    <row r="623" spans="2:17" x14ac:dyDescent="0.25">
      <c r="B623" s="126" t="s">
        <v>517</v>
      </c>
      <c r="C623" s="126"/>
      <c r="D623" s="126" t="s">
        <v>518</v>
      </c>
      <c r="E623" s="126"/>
      <c r="F623" s="126" t="s">
        <v>519</v>
      </c>
      <c r="G623" s="126"/>
      <c r="H623" s="126"/>
      <c r="I623" s="126"/>
      <c r="J623" s="126"/>
      <c r="K623" s="126"/>
      <c r="L623" s="126"/>
      <c r="M623" s="126"/>
      <c r="N623" s="126"/>
      <c r="O623" s="126"/>
      <c r="P623" s="126" t="s">
        <v>520</v>
      </c>
      <c r="Q623" s="126"/>
    </row>
    <row r="624" spans="2:17" x14ac:dyDescent="0.25">
      <c r="B624" s="126" t="s">
        <v>521</v>
      </c>
      <c r="C624" s="126"/>
      <c r="D624" s="126" t="s">
        <v>518</v>
      </c>
      <c r="E624" s="126"/>
      <c r="F624" s="126" t="s">
        <v>522</v>
      </c>
      <c r="G624" s="126"/>
      <c r="H624" s="126"/>
      <c r="I624" s="126"/>
      <c r="J624" s="126"/>
      <c r="K624" s="126"/>
      <c r="L624" s="126"/>
      <c r="M624" s="126"/>
      <c r="N624" s="126"/>
      <c r="O624" s="126"/>
      <c r="P624" s="126" t="s">
        <v>520</v>
      </c>
      <c r="Q624" s="126"/>
    </row>
    <row r="625" spans="2:17" x14ac:dyDescent="0.25">
      <c r="B625" s="126" t="s">
        <v>523</v>
      </c>
      <c r="C625" s="126"/>
      <c r="D625" s="126" t="s">
        <v>518</v>
      </c>
      <c r="E625" s="126"/>
      <c r="F625" s="126" t="s">
        <v>524</v>
      </c>
      <c r="G625" s="126"/>
      <c r="H625" s="126"/>
      <c r="I625" s="126"/>
      <c r="J625" s="126"/>
      <c r="K625" s="126"/>
      <c r="L625" s="126"/>
      <c r="M625" s="126"/>
      <c r="N625" s="126"/>
      <c r="O625" s="126"/>
      <c r="P625" s="126" t="s">
        <v>520</v>
      </c>
      <c r="Q625" s="126"/>
    </row>
    <row r="626" spans="2:17" x14ac:dyDescent="0.25">
      <c r="B626" s="126" t="s">
        <v>525</v>
      </c>
      <c r="C626" s="126"/>
      <c r="D626" s="126" t="s">
        <v>518</v>
      </c>
      <c r="E626" s="126"/>
      <c r="F626" s="126" t="s">
        <v>526</v>
      </c>
      <c r="G626" s="126"/>
      <c r="H626" s="126"/>
      <c r="I626" s="126"/>
      <c r="J626" s="126"/>
      <c r="K626" s="126"/>
      <c r="L626" s="126"/>
      <c r="M626" s="126"/>
      <c r="N626" s="126"/>
      <c r="O626" s="126"/>
      <c r="P626" s="126" t="s">
        <v>520</v>
      </c>
      <c r="Q626" s="126"/>
    </row>
    <row r="627" spans="2:17" x14ac:dyDescent="0.25">
      <c r="B627" s="126" t="s">
        <v>552</v>
      </c>
      <c r="C627" s="126"/>
      <c r="D627" s="126" t="s">
        <v>553</v>
      </c>
      <c r="E627" s="126"/>
      <c r="F627" s="126" t="s">
        <v>554</v>
      </c>
      <c r="G627" s="126"/>
      <c r="H627" s="126"/>
      <c r="I627" s="126"/>
      <c r="J627" s="126"/>
      <c r="K627" s="126"/>
      <c r="L627" s="126"/>
      <c r="M627" s="126"/>
      <c r="N627" s="126"/>
      <c r="O627" s="126"/>
      <c r="P627" s="126" t="s">
        <v>555</v>
      </c>
      <c r="Q627" s="126"/>
    </row>
    <row r="628" spans="2:17" x14ac:dyDescent="0.25">
      <c r="B628" s="126" t="s">
        <v>556</v>
      </c>
      <c r="C628" s="126"/>
      <c r="D628" s="126" t="s">
        <v>553</v>
      </c>
      <c r="E628" s="126"/>
      <c r="F628" s="126" t="s">
        <v>557</v>
      </c>
      <c r="G628" s="126"/>
      <c r="H628" s="126"/>
      <c r="I628" s="126"/>
      <c r="J628" s="126"/>
      <c r="K628" s="126"/>
      <c r="L628" s="126"/>
      <c r="M628" s="126"/>
      <c r="N628" s="126"/>
      <c r="O628" s="126"/>
      <c r="P628" s="126" t="s">
        <v>555</v>
      </c>
      <c r="Q628" s="126"/>
    </row>
    <row r="629" spans="2:17" x14ac:dyDescent="0.25">
      <c r="B629" s="126" t="s">
        <v>558</v>
      </c>
      <c r="C629" s="126"/>
      <c r="D629" s="126" t="s">
        <v>553</v>
      </c>
      <c r="E629" s="126"/>
      <c r="F629" s="126" t="s">
        <v>559</v>
      </c>
      <c r="G629" s="126"/>
      <c r="H629" s="126"/>
      <c r="I629" s="126"/>
      <c r="J629" s="126"/>
      <c r="K629" s="126"/>
      <c r="L629" s="126"/>
      <c r="M629" s="126"/>
      <c r="N629" s="126"/>
      <c r="O629" s="126"/>
      <c r="P629" s="126" t="s">
        <v>555</v>
      </c>
      <c r="Q629" s="126"/>
    </row>
    <row r="630" spans="2:17" x14ac:dyDescent="0.25">
      <c r="B630" s="126" t="s">
        <v>560</v>
      </c>
      <c r="C630" s="126"/>
      <c r="D630" s="126" t="s">
        <v>553</v>
      </c>
      <c r="E630" s="126"/>
      <c r="F630" s="126" t="s">
        <v>592</v>
      </c>
      <c r="G630" s="126"/>
      <c r="H630" s="126"/>
      <c r="I630" s="126"/>
      <c r="J630" s="126"/>
      <c r="K630" s="126"/>
      <c r="L630" s="126"/>
      <c r="M630" s="126"/>
      <c r="N630" s="126"/>
      <c r="O630" s="126"/>
      <c r="P630" s="126" t="s">
        <v>555</v>
      </c>
      <c r="Q630" s="126"/>
    </row>
    <row r="631" spans="2:17" x14ac:dyDescent="0.25">
      <c r="B631" s="126" t="s">
        <v>561</v>
      </c>
      <c r="C631" s="126"/>
      <c r="D631" s="126" t="s">
        <v>553</v>
      </c>
      <c r="E631" s="126"/>
      <c r="F631" s="126" t="s">
        <v>562</v>
      </c>
      <c r="G631" s="126"/>
      <c r="H631" s="126"/>
      <c r="I631" s="126"/>
      <c r="J631" s="126"/>
      <c r="K631" s="126"/>
      <c r="L631" s="126"/>
      <c r="M631" s="126"/>
      <c r="N631" s="126"/>
      <c r="O631" s="126"/>
      <c r="P631" s="126" t="s">
        <v>555</v>
      </c>
      <c r="Q631" s="126"/>
    </row>
    <row r="632" spans="2:17" x14ac:dyDescent="0.25">
      <c r="B632" s="126" t="s">
        <v>472</v>
      </c>
      <c r="C632" s="126"/>
      <c r="D632" s="126" t="s">
        <v>473</v>
      </c>
      <c r="E632" s="126"/>
      <c r="F632" s="126" t="s">
        <v>474</v>
      </c>
      <c r="G632" s="126"/>
      <c r="H632" s="126"/>
      <c r="I632" s="126"/>
      <c r="J632" s="126"/>
      <c r="K632" s="126"/>
      <c r="L632" s="126"/>
      <c r="M632" s="126"/>
      <c r="N632" s="126"/>
      <c r="O632" s="126"/>
      <c r="P632" s="126" t="s">
        <v>475</v>
      </c>
      <c r="Q632" s="126"/>
    </row>
    <row r="633" spans="2:17" x14ac:dyDescent="0.25">
      <c r="B633" s="126" t="s">
        <v>476</v>
      </c>
      <c r="C633" s="126"/>
      <c r="D633" s="126" t="s">
        <v>473</v>
      </c>
      <c r="E633" s="126"/>
      <c r="F633" s="126" t="s">
        <v>477</v>
      </c>
      <c r="G633" s="126"/>
      <c r="H633" s="126"/>
      <c r="I633" s="126"/>
      <c r="J633" s="126"/>
      <c r="K633" s="126"/>
      <c r="L633" s="126"/>
      <c r="M633" s="126"/>
      <c r="N633" s="126"/>
      <c r="O633" s="126"/>
      <c r="P633" s="126" t="s">
        <v>475</v>
      </c>
      <c r="Q633" s="126"/>
    </row>
    <row r="634" spans="2:17" x14ac:dyDescent="0.25">
      <c r="B634" s="126" t="s">
        <v>478</v>
      </c>
      <c r="C634" s="126"/>
      <c r="D634" s="126" t="s">
        <v>473</v>
      </c>
      <c r="E634" s="126"/>
      <c r="F634" s="126" t="s">
        <v>585</v>
      </c>
      <c r="G634" s="126"/>
      <c r="H634" s="126"/>
      <c r="I634" s="126"/>
      <c r="J634" s="126"/>
      <c r="K634" s="126"/>
      <c r="L634" s="126"/>
      <c r="M634" s="126"/>
      <c r="N634" s="126"/>
      <c r="O634" s="126"/>
      <c r="P634" s="126" t="s">
        <v>475</v>
      </c>
      <c r="Q634" s="126"/>
    </row>
    <row r="635" spans="2:17" x14ac:dyDescent="0.25">
      <c r="B635" s="126" t="s">
        <v>479</v>
      </c>
      <c r="C635" s="126"/>
      <c r="D635" s="126" t="s">
        <v>473</v>
      </c>
      <c r="E635" s="126"/>
      <c r="F635" s="126" t="s">
        <v>480</v>
      </c>
      <c r="G635" s="126"/>
      <c r="H635" s="126"/>
      <c r="I635" s="126"/>
      <c r="J635" s="126"/>
      <c r="K635" s="126"/>
      <c r="L635" s="126"/>
      <c r="M635" s="126"/>
      <c r="N635" s="126"/>
      <c r="O635" s="126"/>
      <c r="P635" s="126" t="s">
        <v>475</v>
      </c>
      <c r="Q635" s="126"/>
    </row>
    <row r="636" spans="2:17" x14ac:dyDescent="0.25">
      <c r="B636" s="126" t="s">
        <v>481</v>
      </c>
      <c r="C636" s="126"/>
      <c r="D636" s="126" t="s">
        <v>473</v>
      </c>
      <c r="E636" s="126"/>
      <c r="F636" s="126" t="s">
        <v>482</v>
      </c>
      <c r="G636" s="126"/>
      <c r="H636" s="126"/>
      <c r="I636" s="126"/>
      <c r="J636" s="126"/>
      <c r="K636" s="126"/>
      <c r="L636" s="126"/>
      <c r="M636" s="126"/>
      <c r="N636" s="126"/>
      <c r="O636" s="126"/>
      <c r="P636" s="126" t="s">
        <v>475</v>
      </c>
      <c r="Q636" s="126"/>
    </row>
    <row r="637" spans="2:17" x14ac:dyDescent="0.25">
      <c r="B637" s="126" t="s">
        <v>483</v>
      </c>
      <c r="C637" s="126"/>
      <c r="D637" s="126" t="s">
        <v>473</v>
      </c>
      <c r="E637" s="126"/>
      <c r="F637" s="126" t="s">
        <v>586</v>
      </c>
      <c r="G637" s="126"/>
      <c r="H637" s="126"/>
      <c r="I637" s="126"/>
      <c r="J637" s="126"/>
      <c r="K637" s="126"/>
      <c r="L637" s="126"/>
      <c r="M637" s="126"/>
      <c r="N637" s="126"/>
      <c r="O637" s="126"/>
      <c r="P637" s="126" t="s">
        <v>475</v>
      </c>
      <c r="Q637" s="126"/>
    </row>
    <row r="638" spans="2:17" x14ac:dyDescent="0.25">
      <c r="B638" s="126" t="s">
        <v>653</v>
      </c>
      <c r="C638" s="126"/>
      <c r="D638" s="126" t="s">
        <v>654</v>
      </c>
      <c r="E638" s="126"/>
      <c r="F638" s="126" t="s">
        <v>655</v>
      </c>
      <c r="G638" s="126"/>
      <c r="H638" s="126"/>
      <c r="I638" s="126"/>
      <c r="J638" s="126"/>
      <c r="K638" s="126"/>
      <c r="L638" s="126"/>
      <c r="M638" s="126"/>
      <c r="N638" s="126"/>
      <c r="O638" s="126"/>
      <c r="P638" s="126" t="s">
        <v>606</v>
      </c>
      <c r="Q638" s="126"/>
    </row>
    <row r="639" spans="2:17" x14ac:dyDescent="0.25">
      <c r="B639" s="126" t="s">
        <v>656</v>
      </c>
      <c r="C639" s="126"/>
      <c r="D639" s="126" t="s">
        <v>654</v>
      </c>
      <c r="E639" s="126"/>
      <c r="F639" s="126" t="s">
        <v>657</v>
      </c>
      <c r="G639" s="126"/>
      <c r="H639" s="126"/>
      <c r="I639" s="126"/>
      <c r="J639" s="126"/>
      <c r="K639" s="126"/>
      <c r="L639" s="126"/>
      <c r="M639" s="126"/>
      <c r="N639" s="126"/>
      <c r="O639" s="126"/>
      <c r="P639" s="126" t="s">
        <v>606</v>
      </c>
      <c r="Q639" s="126"/>
    </row>
    <row r="640" spans="2:17" x14ac:dyDescent="0.25">
      <c r="B640" s="126" t="s">
        <v>658</v>
      </c>
      <c r="C640" s="126"/>
      <c r="D640" s="126" t="s">
        <v>654</v>
      </c>
      <c r="E640" s="126"/>
      <c r="F640" s="126" t="s">
        <v>659</v>
      </c>
      <c r="G640" s="126"/>
      <c r="H640" s="126"/>
      <c r="I640" s="126"/>
      <c r="J640" s="126"/>
      <c r="K640" s="126"/>
      <c r="L640" s="126"/>
      <c r="M640" s="126"/>
      <c r="N640" s="126"/>
      <c r="O640" s="126"/>
      <c r="P640" s="126" t="s">
        <v>606</v>
      </c>
      <c r="Q640" s="126"/>
    </row>
    <row r="641" spans="2:17" x14ac:dyDescent="0.25">
      <c r="B641" s="126" t="s">
        <v>660</v>
      </c>
      <c r="C641" s="126"/>
      <c r="D641" s="126" t="s">
        <v>654</v>
      </c>
      <c r="E641" s="126"/>
      <c r="F641" s="126" t="str">
        <f>"Can smite animal, elemental, fey, or plants.  Adds +"&amp;J70&amp;" to attack and +"&amp;D482&amp;" to damage.  1/5 rounds."</f>
        <v>Can smite animal, elemental, fey, or plants.  Adds +2 to attack and + to damage.  1/5 rounds.</v>
      </c>
      <c r="G641" s="126"/>
      <c r="H641" s="126"/>
      <c r="I641" s="126"/>
      <c r="J641" s="126"/>
      <c r="K641" s="126"/>
      <c r="L641" s="126"/>
      <c r="M641" s="126"/>
      <c r="N641" s="126"/>
      <c r="O641" s="126"/>
      <c r="P641" s="126" t="s">
        <v>606</v>
      </c>
      <c r="Q641" s="126"/>
    </row>
    <row r="642" spans="2:17" x14ac:dyDescent="0.25">
      <c r="B642" s="126" t="s">
        <v>661</v>
      </c>
      <c r="C642" s="126"/>
      <c r="D642" s="126" t="s">
        <v>654</v>
      </c>
      <c r="E642" s="126"/>
      <c r="F642" s="126" t="s">
        <v>662</v>
      </c>
      <c r="G642" s="126"/>
      <c r="H642" s="126"/>
      <c r="I642" s="126"/>
      <c r="J642" s="126"/>
      <c r="K642" s="126"/>
      <c r="L642" s="126"/>
      <c r="M642" s="126"/>
      <c r="N642" s="126"/>
      <c r="O642" s="126"/>
      <c r="P642" s="126" t="s">
        <v>606</v>
      </c>
      <c r="Q642" s="126"/>
    </row>
    <row r="643" spans="2:17" x14ac:dyDescent="0.25">
      <c r="B643" s="126" t="s">
        <v>527</v>
      </c>
      <c r="C643" s="126"/>
      <c r="D643" s="126" t="s">
        <v>528</v>
      </c>
      <c r="E643" s="126"/>
      <c r="F643" s="126" t="s">
        <v>587</v>
      </c>
      <c r="G643" s="126"/>
      <c r="H643" s="126"/>
      <c r="I643" s="126"/>
      <c r="J643" s="126"/>
      <c r="K643" s="126"/>
      <c r="L643" s="126"/>
      <c r="M643" s="126"/>
      <c r="N643" s="126"/>
      <c r="O643" s="126"/>
      <c r="P643" s="126" t="s">
        <v>529</v>
      </c>
      <c r="Q643" s="126"/>
    </row>
    <row r="644" spans="2:17" x14ac:dyDescent="0.25">
      <c r="B644" s="126" t="s">
        <v>530</v>
      </c>
      <c r="C644" s="126"/>
      <c r="D644" s="126" t="s">
        <v>528</v>
      </c>
      <c r="E644" s="126"/>
      <c r="F644" s="126" t="s">
        <v>531</v>
      </c>
      <c r="G644" s="126"/>
      <c r="H644" s="126"/>
      <c r="I644" s="126"/>
      <c r="J644" s="126"/>
      <c r="K644" s="126"/>
      <c r="L644" s="126"/>
      <c r="M644" s="126"/>
      <c r="N644" s="126"/>
      <c r="O644" s="126"/>
      <c r="P644" s="126" t="s">
        <v>529</v>
      </c>
      <c r="Q644" s="126"/>
    </row>
    <row r="645" spans="2:17" x14ac:dyDescent="0.25">
      <c r="B645" s="126" t="s">
        <v>532</v>
      </c>
      <c r="C645" s="126"/>
      <c r="D645" s="126" t="s">
        <v>528</v>
      </c>
      <c r="E645" s="126"/>
      <c r="F645" s="126" t="s">
        <v>588</v>
      </c>
      <c r="G645" s="126"/>
      <c r="H645" s="126"/>
      <c r="I645" s="126"/>
      <c r="J645" s="126"/>
      <c r="K645" s="126"/>
      <c r="L645" s="126"/>
      <c r="M645" s="126"/>
      <c r="N645" s="126"/>
      <c r="O645" s="126"/>
      <c r="P645" s="126" t="s">
        <v>529</v>
      </c>
      <c r="Q645" s="126"/>
    </row>
    <row r="646" spans="2:17" x14ac:dyDescent="0.25">
      <c r="B646" s="126" t="s">
        <v>533</v>
      </c>
      <c r="C646" s="126"/>
      <c r="D646" s="126" t="s">
        <v>528</v>
      </c>
      <c r="E646" s="126"/>
      <c r="F646" s="126" t="s">
        <v>589</v>
      </c>
      <c r="G646" s="126"/>
      <c r="H646" s="126"/>
      <c r="I646" s="126"/>
      <c r="J646" s="126"/>
      <c r="K646" s="126"/>
      <c r="L646" s="126"/>
      <c r="M646" s="126"/>
      <c r="N646" s="126"/>
      <c r="O646" s="126"/>
      <c r="P646" s="126" t="s">
        <v>529</v>
      </c>
      <c r="Q646" s="126"/>
    </row>
    <row r="647" spans="2:17" x14ac:dyDescent="0.25">
      <c r="B647" s="126" t="s">
        <v>534</v>
      </c>
      <c r="C647" s="126"/>
      <c r="D647" s="126" t="s">
        <v>535</v>
      </c>
      <c r="E647" s="126"/>
      <c r="F647" s="126" t="s">
        <v>536</v>
      </c>
      <c r="G647" s="126"/>
      <c r="H647" s="126"/>
      <c r="I647" s="126"/>
      <c r="J647" s="126"/>
      <c r="K647" s="126"/>
      <c r="L647" s="126"/>
      <c r="M647" s="126"/>
      <c r="N647" s="126"/>
      <c r="O647" s="126"/>
      <c r="P647" s="126" t="s">
        <v>333</v>
      </c>
      <c r="Q647" s="126"/>
    </row>
    <row r="648" spans="2:17" x14ac:dyDescent="0.25">
      <c r="B648" s="126" t="s">
        <v>537</v>
      </c>
      <c r="C648" s="126"/>
      <c r="D648" s="126" t="s">
        <v>535</v>
      </c>
      <c r="E648" s="126"/>
      <c r="F648" s="126" t="s">
        <v>590</v>
      </c>
      <c r="G648" s="126"/>
      <c r="H648" s="126"/>
      <c r="I648" s="126"/>
      <c r="J648" s="126"/>
      <c r="K648" s="126"/>
      <c r="L648" s="126"/>
      <c r="M648" s="126"/>
      <c r="N648" s="126"/>
      <c r="O648" s="126"/>
      <c r="P648" s="126" t="s">
        <v>333</v>
      </c>
      <c r="Q648" s="126"/>
    </row>
    <row r="649" spans="2:17" x14ac:dyDescent="0.25">
      <c r="B649" s="126" t="s">
        <v>538</v>
      </c>
      <c r="C649" s="126"/>
      <c r="D649" s="126" t="s">
        <v>535</v>
      </c>
      <c r="E649" s="126"/>
      <c r="F649" s="126" t="s">
        <v>539</v>
      </c>
      <c r="G649" s="126"/>
      <c r="H649" s="126"/>
      <c r="I649" s="126"/>
      <c r="J649" s="126"/>
      <c r="K649" s="126"/>
      <c r="L649" s="126"/>
      <c r="M649" s="126"/>
      <c r="N649" s="126"/>
      <c r="O649" s="126"/>
      <c r="P649" s="126" t="s">
        <v>333</v>
      </c>
      <c r="Q649" s="126"/>
    </row>
    <row r="650" spans="2:17" x14ac:dyDescent="0.25">
      <c r="B650" s="126" t="s">
        <v>540</v>
      </c>
      <c r="C650" s="126"/>
      <c r="D650" s="126" t="s">
        <v>535</v>
      </c>
      <c r="E650" s="126"/>
      <c r="F650" s="126" t="s">
        <v>541</v>
      </c>
      <c r="G650" s="126"/>
      <c r="H650" s="126"/>
      <c r="I650" s="126"/>
      <c r="J650" s="126"/>
      <c r="K650" s="126"/>
      <c r="L650" s="126"/>
      <c r="M650" s="126"/>
      <c r="N650" s="126"/>
      <c r="O650" s="126"/>
      <c r="P650" s="126" t="s">
        <v>333</v>
      </c>
      <c r="Q650" s="126"/>
    </row>
    <row r="651" spans="2:17" x14ac:dyDescent="0.25">
      <c r="B651" s="126" t="s">
        <v>542</v>
      </c>
      <c r="C651" s="126"/>
      <c r="D651" s="126" t="s">
        <v>535</v>
      </c>
      <c r="E651" s="126"/>
      <c r="F651" s="126" t="s">
        <v>543</v>
      </c>
      <c r="G651" s="126"/>
      <c r="H651" s="126"/>
      <c r="I651" s="126"/>
      <c r="J651" s="126"/>
      <c r="K651" s="126"/>
      <c r="L651" s="126"/>
      <c r="M651" s="126"/>
      <c r="N651" s="126"/>
      <c r="O651" s="126"/>
      <c r="P651" s="126" t="s">
        <v>333</v>
      </c>
      <c r="Q651" s="126"/>
    </row>
    <row r="652" spans="2:17" x14ac:dyDescent="0.25">
      <c r="B652" s="126" t="s">
        <v>563</v>
      </c>
      <c r="C652" s="126"/>
      <c r="D652" s="126" t="s">
        <v>564</v>
      </c>
      <c r="E652" s="126"/>
      <c r="F652" s="126" t="s">
        <v>593</v>
      </c>
      <c r="G652" s="126"/>
      <c r="H652" s="126"/>
      <c r="I652" s="126"/>
      <c r="J652" s="126"/>
      <c r="K652" s="126"/>
      <c r="L652" s="126"/>
      <c r="M652" s="126"/>
      <c r="N652" s="126"/>
      <c r="O652" s="126"/>
      <c r="P652" s="126" t="s">
        <v>398</v>
      </c>
      <c r="Q652" s="126"/>
    </row>
    <row r="653" spans="2:17" x14ac:dyDescent="0.25">
      <c r="B653" s="126" t="s">
        <v>565</v>
      </c>
      <c r="C653" s="126"/>
      <c r="D653" s="126" t="s">
        <v>564</v>
      </c>
      <c r="E653" s="126"/>
      <c r="F653" s="126" t="s">
        <v>566</v>
      </c>
      <c r="G653" s="126"/>
      <c r="H653" s="126"/>
      <c r="I653" s="126"/>
      <c r="J653" s="126"/>
      <c r="K653" s="126"/>
      <c r="L653" s="126"/>
      <c r="M653" s="126"/>
      <c r="N653" s="126"/>
      <c r="O653" s="126"/>
      <c r="P653" s="126" t="s">
        <v>398</v>
      </c>
      <c r="Q653" s="126"/>
    </row>
    <row r="654" spans="2:17" x14ac:dyDescent="0.25">
      <c r="B654" s="126" t="s">
        <v>567</v>
      </c>
      <c r="C654" s="126"/>
      <c r="D654" s="126" t="s">
        <v>564</v>
      </c>
      <c r="E654" s="126"/>
      <c r="F654" s="126" t="s">
        <v>568</v>
      </c>
      <c r="G654" s="126"/>
      <c r="H654" s="126"/>
      <c r="I654" s="126"/>
      <c r="J654" s="126"/>
      <c r="K654" s="126"/>
      <c r="L654" s="126"/>
      <c r="M654" s="126"/>
      <c r="N654" s="126"/>
      <c r="O654" s="126"/>
      <c r="P654" s="126" t="s">
        <v>398</v>
      </c>
      <c r="Q654" s="126"/>
    </row>
    <row r="655" spans="2:17" x14ac:dyDescent="0.25">
      <c r="B655" s="126" t="s">
        <v>569</v>
      </c>
      <c r="C655" s="126"/>
      <c r="D655" s="126" t="s">
        <v>564</v>
      </c>
      <c r="E655" s="126"/>
      <c r="F655" s="126" t="s">
        <v>570</v>
      </c>
      <c r="G655" s="126"/>
      <c r="H655" s="126"/>
      <c r="I655" s="126"/>
      <c r="J655" s="126"/>
      <c r="K655" s="126"/>
      <c r="L655" s="126"/>
      <c r="M655" s="126"/>
      <c r="N655" s="126"/>
      <c r="O655" s="126"/>
      <c r="P655" s="126" t="s">
        <v>398</v>
      </c>
      <c r="Q655" s="126"/>
    </row>
    <row r="656" spans="2:17" x14ac:dyDescent="0.25">
      <c r="B656" s="126" t="s">
        <v>595</v>
      </c>
      <c r="C656" s="126"/>
      <c r="D656" s="126" t="s">
        <v>663</v>
      </c>
      <c r="E656" s="126"/>
      <c r="F656" s="126" t="s">
        <v>664</v>
      </c>
      <c r="G656" s="126"/>
      <c r="H656" s="126"/>
      <c r="I656" s="126"/>
      <c r="J656" s="126"/>
      <c r="K656" s="126"/>
      <c r="L656" s="126"/>
      <c r="M656" s="126"/>
      <c r="N656" s="126"/>
      <c r="O656" s="126"/>
      <c r="P656" s="126" t="s">
        <v>597</v>
      </c>
      <c r="Q656" s="126"/>
    </row>
    <row r="657" spans="2:17" x14ac:dyDescent="0.25">
      <c r="B657" s="126" t="s">
        <v>665</v>
      </c>
      <c r="C657" s="126"/>
      <c r="D657" s="126" t="s">
        <v>663</v>
      </c>
      <c r="E657" s="126"/>
      <c r="F657" s="126" t="s">
        <v>666</v>
      </c>
      <c r="G657" s="126"/>
      <c r="H657" s="126"/>
      <c r="I657" s="126"/>
      <c r="J657" s="126"/>
      <c r="K657" s="126"/>
      <c r="L657" s="126"/>
      <c r="M657" s="126"/>
      <c r="N657" s="126"/>
      <c r="O657" s="126"/>
      <c r="P657" s="126" t="s">
        <v>597</v>
      </c>
      <c r="Q657" s="126"/>
    </row>
    <row r="658" spans="2:17" x14ac:dyDescent="0.25">
      <c r="B658" s="126" t="s">
        <v>667</v>
      </c>
      <c r="C658" s="126"/>
      <c r="D658" s="126" t="s">
        <v>663</v>
      </c>
      <c r="E658" s="126"/>
      <c r="F658" s="126" t="s">
        <v>674</v>
      </c>
      <c r="G658" s="126"/>
      <c r="H658" s="126"/>
      <c r="I658" s="126"/>
      <c r="J658" s="126"/>
      <c r="K658" s="126"/>
      <c r="L658" s="126"/>
      <c r="M658" s="126"/>
      <c r="N658" s="126"/>
      <c r="O658" s="126"/>
      <c r="P658" s="126" t="s">
        <v>597</v>
      </c>
      <c r="Q658" s="126"/>
    </row>
    <row r="659" spans="2:17" x14ac:dyDescent="0.25">
      <c r="B659" s="126" t="s">
        <v>668</v>
      </c>
      <c r="C659" s="126"/>
      <c r="D659" s="126" t="s">
        <v>663</v>
      </c>
      <c r="E659" s="126"/>
      <c r="F659" s="126" t="s">
        <v>669</v>
      </c>
      <c r="G659" s="126"/>
      <c r="H659" s="126"/>
      <c r="I659" s="126"/>
      <c r="J659" s="126"/>
      <c r="K659" s="126"/>
      <c r="L659" s="126"/>
      <c r="M659" s="126"/>
      <c r="N659" s="126"/>
      <c r="O659" s="126"/>
      <c r="P659" s="126" t="s">
        <v>597</v>
      </c>
      <c r="Q659" s="126"/>
    </row>
    <row r="660" spans="2:17" x14ac:dyDescent="0.25">
      <c r="B660" s="126" t="s">
        <v>670</v>
      </c>
      <c r="C660" s="126"/>
      <c r="D660" s="126" t="s">
        <v>663</v>
      </c>
      <c r="E660" s="126"/>
      <c r="F660" s="126" t="s">
        <v>671</v>
      </c>
      <c r="G660" s="126"/>
      <c r="H660" s="126"/>
      <c r="I660" s="126"/>
      <c r="J660" s="126"/>
      <c r="K660" s="126"/>
      <c r="L660" s="126"/>
      <c r="M660" s="126"/>
      <c r="N660" s="126"/>
      <c r="O660" s="126"/>
      <c r="P660" s="126" t="s">
        <v>597</v>
      </c>
      <c r="Q660" s="126"/>
    </row>
    <row r="661" spans="2:17" x14ac:dyDescent="0.25">
      <c r="B661" s="126" t="s">
        <v>672</v>
      </c>
      <c r="C661" s="126"/>
      <c r="D661" s="126" t="s">
        <v>663</v>
      </c>
      <c r="E661" s="126"/>
      <c r="F661" s="126" t="s">
        <v>673</v>
      </c>
      <c r="G661" s="126"/>
      <c r="H661" s="126"/>
      <c r="I661" s="126"/>
      <c r="J661" s="126"/>
      <c r="K661" s="126"/>
      <c r="L661" s="126"/>
      <c r="M661" s="126"/>
      <c r="N661" s="126"/>
      <c r="O661" s="126"/>
      <c r="P661" s="126" t="s">
        <v>597</v>
      </c>
      <c r="Q661" s="126"/>
    </row>
    <row r="662" spans="2:17" x14ac:dyDescent="0.25">
      <c r="B662" s="126" t="s">
        <v>675</v>
      </c>
      <c r="C662" s="126"/>
      <c r="D662" s="126" t="s">
        <v>663</v>
      </c>
      <c r="E662" s="126"/>
      <c r="F662" s="126" t="str">
        <f>"Three times per day, can smite evil.  Adds +"&amp;J70&amp;" to attack and +"&amp;D482&amp;" to damage.  1/5 rounds."</f>
        <v>Three times per day, can smite evil.  Adds +2 to attack and + to damage.  1/5 rounds.</v>
      </c>
      <c r="G662" s="126"/>
      <c r="H662" s="126"/>
      <c r="I662" s="126"/>
      <c r="J662" s="126"/>
      <c r="K662" s="126"/>
      <c r="L662" s="126"/>
      <c r="M662" s="126"/>
      <c r="N662" s="126"/>
      <c r="O662" s="126"/>
      <c r="P662" s="126" t="s">
        <v>597</v>
      </c>
      <c r="Q662" s="126"/>
    </row>
    <row r="663" spans="2:17" x14ac:dyDescent="0.25">
      <c r="B663" s="126" t="s">
        <v>676</v>
      </c>
      <c r="C663" s="126"/>
      <c r="D663" s="126" t="s">
        <v>663</v>
      </c>
      <c r="E663" s="126"/>
      <c r="F663" s="126" t="s">
        <v>677</v>
      </c>
      <c r="G663" s="126"/>
      <c r="H663" s="126"/>
      <c r="I663" s="126"/>
      <c r="J663" s="126"/>
      <c r="K663" s="126"/>
      <c r="L663" s="126"/>
      <c r="M663" s="126"/>
      <c r="N663" s="126"/>
      <c r="O663" s="126"/>
      <c r="P663" s="126" t="s">
        <v>597</v>
      </c>
      <c r="Q663" s="126"/>
    </row>
    <row r="664" spans="2:17" x14ac:dyDescent="0.25">
      <c r="B664" s="126" t="s">
        <v>678</v>
      </c>
      <c r="C664" s="126"/>
      <c r="D664" s="126" t="s">
        <v>663</v>
      </c>
      <c r="E664" s="126"/>
      <c r="F664" s="126" t="s">
        <v>679</v>
      </c>
      <c r="G664" s="126"/>
      <c r="H664" s="126"/>
      <c r="I664" s="126"/>
      <c r="J664" s="126"/>
      <c r="K664" s="126"/>
      <c r="L664" s="126"/>
      <c r="M664" s="126"/>
      <c r="N664" s="126"/>
      <c r="O664" s="126"/>
      <c r="P664" s="126" t="s">
        <v>597</v>
      </c>
      <c r="Q664" s="126"/>
    </row>
    <row r="665" spans="2:17" x14ac:dyDescent="0.25">
      <c r="B665" s="126" t="s">
        <v>328</v>
      </c>
      <c r="C665" s="126"/>
      <c r="D665" s="126" t="s">
        <v>663</v>
      </c>
      <c r="E665" s="126"/>
      <c r="F665" s="126" t="s">
        <v>680</v>
      </c>
      <c r="G665" s="126"/>
      <c r="H665" s="126"/>
      <c r="I665" s="126"/>
      <c r="J665" s="126"/>
      <c r="K665" s="126"/>
      <c r="L665" s="126"/>
      <c r="M665" s="126"/>
      <c r="N665" s="126"/>
      <c r="O665" s="126"/>
      <c r="P665" s="126" t="s">
        <v>597</v>
      </c>
      <c r="Q665" s="126"/>
    </row>
    <row r="666" spans="2:17" x14ac:dyDescent="0.25">
      <c r="B666" s="126" t="s">
        <v>681</v>
      </c>
      <c r="C666" s="126"/>
      <c r="D666" s="126" t="s">
        <v>682</v>
      </c>
      <c r="E666" s="126"/>
      <c r="F666" s="126" t="str">
        <f>"Enemies you are aware of that come within 10 ft. must succeed at a DC"&amp;10+FLOOR(D482/2,1)+J70&amp;" will save or be shaken or frightened, as you choose.  Creatures that succeed on their save are immune to this ability for 24 hours."</f>
        <v>Enemies you are aware of that come within 10 ft. must succeed at a DC12 will save or be shaken or frightened, as you choose.  Creatures that succeed on their save are immune to this ability for 24 hours.</v>
      </c>
      <c r="G666" s="126"/>
      <c r="H666" s="126"/>
      <c r="I666" s="126"/>
      <c r="J666" s="126"/>
      <c r="K666" s="126"/>
      <c r="L666" s="126"/>
      <c r="M666" s="126"/>
      <c r="N666" s="126"/>
      <c r="O666" s="126"/>
      <c r="P666" s="126"/>
      <c r="Q666" s="126"/>
    </row>
    <row r="667" spans="2:17" x14ac:dyDescent="0.25">
      <c r="B667" s="126" t="s">
        <v>683</v>
      </c>
      <c r="C667" s="126"/>
      <c r="D667" s="126" t="s">
        <v>682</v>
      </c>
      <c r="E667" s="126"/>
      <c r="F667" s="126" t="str">
        <f>"One ally within "&amp;5*D482&amp;" feet gains the effects of freedom of movement or gaseous form and gain an immediate move action that can only be used to move."</f>
        <v>One ally within 0 feet gains the effects of freedom of movement or gaseous form and gain an immediate move action that can only be used to move.</v>
      </c>
      <c r="G667" s="126"/>
      <c r="H667" s="126"/>
      <c r="I667" s="126"/>
      <c r="J667" s="126"/>
      <c r="K667" s="126"/>
      <c r="L667" s="126"/>
      <c r="M667" s="126"/>
      <c r="N667" s="126"/>
      <c r="O667" s="126"/>
      <c r="P667" s="126"/>
      <c r="Q667" s="126"/>
    </row>
    <row r="668" spans="2:17" x14ac:dyDescent="0.25">
      <c r="B668" s="126" t="s">
        <v>684</v>
      </c>
      <c r="C668" s="126"/>
      <c r="D668" s="126" t="s">
        <v>682</v>
      </c>
      <c r="E668" s="126"/>
      <c r="F668" s="126" t="s">
        <v>685</v>
      </c>
      <c r="G668" s="126"/>
      <c r="H668" s="126"/>
      <c r="I668" s="126"/>
      <c r="J668" s="126"/>
      <c r="K668" s="126"/>
      <c r="L668" s="126"/>
      <c r="M668" s="126"/>
      <c r="N668" s="126"/>
      <c r="O668" s="126"/>
      <c r="P668" s="126"/>
      <c r="Q668" s="126"/>
    </row>
    <row r="669" spans="2:17" x14ac:dyDescent="0.25">
      <c r="B669" s="126" t="s">
        <v>686</v>
      </c>
      <c r="C669" s="126"/>
      <c r="D669" s="126" t="s">
        <v>682</v>
      </c>
      <c r="E669" s="126"/>
      <c r="F669" s="126" t="s">
        <v>687</v>
      </c>
      <c r="G669" s="126"/>
      <c r="H669" s="126"/>
      <c r="I669" s="126"/>
      <c r="J669" s="126"/>
      <c r="K669" s="126"/>
      <c r="L669" s="126"/>
      <c r="M669" s="126"/>
      <c r="N669" s="126"/>
      <c r="O669" s="126"/>
      <c r="P669" s="126"/>
      <c r="Q669" s="126"/>
    </row>
    <row r="670" spans="2:17" x14ac:dyDescent="0.25">
      <c r="B670" s="126" t="s">
        <v>688</v>
      </c>
      <c r="C670" s="126"/>
      <c r="D670" s="126" t="s">
        <v>689</v>
      </c>
      <c r="E670" s="126"/>
      <c r="F670" s="126" t="str">
        <f>"Target must succeed on a DC"&amp;10+FLOOR(D482/2,1)+J70&amp;" will save or feel an aversion requiring them to stay away from the binder and any snakes and yuan-ti.  1/5 rounds."</f>
        <v>Target must succeed on a DC12 will save or feel an aversion requiring them to stay away from the binder and any snakes and yuan-ti.  1/5 rounds.</v>
      </c>
      <c r="G670" s="126"/>
      <c r="H670" s="126"/>
      <c r="I670" s="126"/>
      <c r="J670" s="126"/>
      <c r="K670" s="126"/>
      <c r="L670" s="126"/>
      <c r="M670" s="126"/>
      <c r="N670" s="126"/>
      <c r="O670" s="126"/>
      <c r="P670" s="126" t="s">
        <v>690</v>
      </c>
      <c r="Q670" s="126"/>
    </row>
    <row r="671" spans="2:17" x14ac:dyDescent="0.25">
      <c r="B671" s="126" t="s">
        <v>691</v>
      </c>
      <c r="C671" s="126"/>
      <c r="D671" s="126" t="s">
        <v>689</v>
      </c>
      <c r="E671" s="126"/>
      <c r="F671" s="126" t="s">
        <v>692</v>
      </c>
      <c r="G671" s="126"/>
      <c r="H671" s="126"/>
      <c r="I671" s="126"/>
      <c r="J671" s="126"/>
      <c r="K671" s="126"/>
      <c r="L671" s="126"/>
      <c r="M671" s="126"/>
      <c r="N671" s="126"/>
      <c r="O671" s="126"/>
      <c r="P671" s="126" t="s">
        <v>690</v>
      </c>
      <c r="Q671" s="126"/>
    </row>
    <row r="672" spans="2:17" x14ac:dyDescent="0.25">
      <c r="B672" s="126" t="s">
        <v>693</v>
      </c>
      <c r="C672" s="126"/>
      <c r="D672" s="126" t="s">
        <v>689</v>
      </c>
      <c r="E672" s="126"/>
      <c r="F672" s="126" t="s">
        <v>694</v>
      </c>
      <c r="G672" s="126"/>
      <c r="H672" s="126"/>
      <c r="I672" s="126"/>
      <c r="J672" s="126"/>
      <c r="K672" s="126"/>
      <c r="L672" s="126"/>
      <c r="M672" s="126"/>
      <c r="N672" s="126"/>
      <c r="O672" s="126"/>
      <c r="P672" s="126" t="s">
        <v>690</v>
      </c>
      <c r="Q672" s="126"/>
    </row>
    <row r="673" spans="2:17" x14ac:dyDescent="0.25">
      <c r="B673" s="126" t="s">
        <v>695</v>
      </c>
      <c r="C673" s="126"/>
      <c r="D673" s="126" t="s">
        <v>689</v>
      </c>
      <c r="E673" s="126"/>
      <c r="F673" s="126" t="str">
        <f>"Deal 1d8+"&amp;ROUNDDOWN((J65*1.5),0)&amp;" damage with a successful grapple check in addition to normal unarmed damage."</f>
        <v>Deal 1d8+9 damage with a successful grapple check in addition to normal unarmed damage.</v>
      </c>
      <c r="G673" s="126"/>
      <c r="H673" s="126"/>
      <c r="I673" s="126"/>
      <c r="J673" s="126"/>
      <c r="K673" s="126"/>
      <c r="L673" s="126"/>
      <c r="M673" s="126"/>
      <c r="N673" s="126"/>
      <c r="O673" s="126"/>
      <c r="P673" s="126" t="s">
        <v>690</v>
      </c>
      <c r="Q673" s="126"/>
    </row>
    <row r="674" spans="2:17" x14ac:dyDescent="0.25">
      <c r="B674" s="126" t="s">
        <v>696</v>
      </c>
      <c r="C674" s="126"/>
      <c r="D674" s="126" t="s">
        <v>689</v>
      </c>
      <c r="E674" s="126"/>
      <c r="F674" s="126" t="s">
        <v>697</v>
      </c>
      <c r="G674" s="126"/>
      <c r="H674" s="126"/>
      <c r="I674" s="126"/>
      <c r="J674" s="126"/>
      <c r="K674" s="126"/>
      <c r="L674" s="126"/>
      <c r="M674" s="126"/>
      <c r="N674" s="126"/>
      <c r="O674" s="126"/>
      <c r="P674" s="126" t="s">
        <v>690</v>
      </c>
      <c r="Q674" s="126"/>
    </row>
    <row r="675" spans="2:17" x14ac:dyDescent="0.25">
      <c r="B675" s="126" t="s">
        <v>698</v>
      </c>
      <c r="C675" s="126"/>
      <c r="D675" s="126" t="s">
        <v>699</v>
      </c>
      <c r="E675" s="126"/>
      <c r="F675" s="126" t="s">
        <v>700</v>
      </c>
      <c r="G675" s="126"/>
      <c r="H675" s="126"/>
      <c r="I675" s="126"/>
      <c r="J675" s="126"/>
      <c r="K675" s="126"/>
      <c r="L675" s="126"/>
      <c r="M675" s="126"/>
      <c r="N675" s="126"/>
      <c r="O675" s="126"/>
      <c r="P675" s="126" t="s">
        <v>701</v>
      </c>
      <c r="Q675" s="126"/>
    </row>
    <row r="676" spans="2:17" x14ac:dyDescent="0.25">
      <c r="B676" s="126" t="s">
        <v>702</v>
      </c>
      <c r="C676" s="126"/>
      <c r="D676" s="126" t="s">
        <v>699</v>
      </c>
      <c r="E676" s="126"/>
      <c r="F676" s="126" t="str">
        <f>"Immune to confusion, insanity, and weird spells, and gain a +"&amp;ROUNDDOWN(D482/4,0)&amp;" untyped bonus to saving throws vs. mind-affecting."</f>
        <v>Immune to confusion, insanity, and weird spells, and gain a +0 untyped bonus to saving throws vs. mind-affecting.</v>
      </c>
      <c r="G676" s="126"/>
      <c r="H676" s="126"/>
      <c r="I676" s="126"/>
      <c r="J676" s="126"/>
      <c r="K676" s="126"/>
      <c r="L676" s="126"/>
      <c r="M676" s="126"/>
      <c r="N676" s="126"/>
      <c r="O676" s="126"/>
      <c r="P676" s="126" t="s">
        <v>701</v>
      </c>
      <c r="Q676" s="126"/>
    </row>
    <row r="677" spans="2:17" x14ac:dyDescent="0.25">
      <c r="B677" s="126" t="s">
        <v>703</v>
      </c>
      <c r="C677" s="126"/>
      <c r="D677" s="126" t="s">
        <v>699</v>
      </c>
      <c r="E677" s="126"/>
      <c r="F677" s="126" t="str">
        <f>"Fire a ray that dazes an opponent for 1d3 rounds.  Ranged touch attack with a range of "&amp;100+(D482*10)&amp;" ft.  Will negates.  1/5 rounds."</f>
        <v>Fire a ray that dazes an opponent for 1d3 rounds.  Ranged touch attack with a range of 100 ft.  Will negates.  1/5 rounds.</v>
      </c>
      <c r="G677" s="126"/>
      <c r="H677" s="126"/>
      <c r="I677" s="126"/>
      <c r="J677" s="126"/>
      <c r="K677" s="126"/>
      <c r="L677" s="126"/>
      <c r="M677" s="126"/>
      <c r="N677" s="126"/>
      <c r="O677" s="126"/>
      <c r="P677" s="126" t="s">
        <v>701</v>
      </c>
      <c r="Q677" s="126"/>
    </row>
    <row r="678" spans="2:17" x14ac:dyDescent="0.25">
      <c r="B678" s="126" t="s">
        <v>704</v>
      </c>
      <c r="C678" s="126"/>
      <c r="D678" s="126" t="s">
        <v>699</v>
      </c>
      <c r="E678" s="126"/>
      <c r="F678" s="126" t="s">
        <v>705</v>
      </c>
      <c r="G678" s="126"/>
      <c r="H678" s="126"/>
      <c r="I678" s="126"/>
      <c r="J678" s="126"/>
      <c r="K678" s="126"/>
      <c r="L678" s="126"/>
      <c r="M678" s="126"/>
      <c r="N678" s="126"/>
      <c r="O678" s="126"/>
      <c r="P678" s="126" t="s">
        <v>701</v>
      </c>
      <c r="Q678" s="126"/>
    </row>
    <row r="679" spans="2:17" x14ac:dyDescent="0.25">
      <c r="B679" s="126" t="s">
        <v>706</v>
      </c>
      <c r="C679" s="126"/>
      <c r="D679" s="126" t="s">
        <v>699</v>
      </c>
      <c r="E679" s="126"/>
      <c r="F679" s="126" t="s">
        <v>707</v>
      </c>
      <c r="G679" s="126"/>
      <c r="H679" s="126"/>
      <c r="I679" s="126"/>
      <c r="J679" s="126"/>
      <c r="K679" s="126"/>
      <c r="L679" s="126"/>
      <c r="M679" s="126"/>
      <c r="N679" s="126"/>
      <c r="O679" s="126"/>
      <c r="P679" s="126" t="s">
        <v>701</v>
      </c>
      <c r="Q679" s="126"/>
    </row>
    <row r="680" spans="2:17" x14ac:dyDescent="0.25">
      <c r="B680" s="126" t="s">
        <v>708</v>
      </c>
      <c r="C680" s="126"/>
      <c r="D680" s="126" t="s">
        <v>709</v>
      </c>
      <c r="E680" s="126"/>
      <c r="F680" s="126" t="s">
        <v>710</v>
      </c>
      <c r="G680" s="126"/>
      <c r="H680" s="126"/>
      <c r="I680" s="126"/>
      <c r="J680" s="126"/>
      <c r="K680" s="126"/>
      <c r="L680" s="126"/>
      <c r="M680" s="126"/>
      <c r="N680" s="126"/>
      <c r="O680" s="126"/>
      <c r="P680" s="126" t="s">
        <v>711</v>
      </c>
      <c r="Q680" s="126"/>
    </row>
    <row r="681" spans="2:17" x14ac:dyDescent="0.25">
      <c r="B681" s="126" t="s">
        <v>712</v>
      </c>
      <c r="C681" s="126"/>
      <c r="D681" s="126" t="s">
        <v>709</v>
      </c>
      <c r="E681" s="126"/>
      <c r="F681" s="126" t="str">
        <f>"Gain SR"&amp;12+D482&amp;" vs. divine spells and spell-like abilities."</f>
        <v>Gain SR12 vs. divine spells and spell-like abilities.</v>
      </c>
      <c r="G681" s="126"/>
      <c r="H681" s="126"/>
      <c r="I681" s="126"/>
      <c r="J681" s="126"/>
      <c r="K681" s="126"/>
      <c r="L681" s="126"/>
      <c r="M681" s="126"/>
      <c r="N681" s="126"/>
      <c r="O681" s="126"/>
      <c r="P681" s="126" t="s">
        <v>711</v>
      </c>
      <c r="Q681" s="126"/>
    </row>
    <row r="682" spans="2:17" x14ac:dyDescent="0.25">
      <c r="B682" s="126" t="s">
        <v>713</v>
      </c>
      <c r="C682" s="126"/>
      <c r="D682" s="126" t="s">
        <v>709</v>
      </c>
      <c r="E682" s="126"/>
      <c r="F682" s="126" t="s">
        <v>714</v>
      </c>
      <c r="G682" s="126"/>
      <c r="H682" s="126"/>
      <c r="I682" s="126"/>
      <c r="J682" s="126"/>
      <c r="K682" s="126"/>
      <c r="L682" s="126"/>
      <c r="M682" s="126"/>
      <c r="N682" s="126"/>
      <c r="O682" s="126"/>
      <c r="P682" s="126" t="s">
        <v>711</v>
      </c>
      <c r="Q682" s="126"/>
    </row>
    <row r="683" spans="2:17" x14ac:dyDescent="0.25">
      <c r="B683" s="126" t="s">
        <v>715</v>
      </c>
      <c r="C683" s="126"/>
      <c r="D683" s="126" t="s">
        <v>709</v>
      </c>
      <c r="E683" s="126"/>
      <c r="F683" s="126" t="s">
        <v>716</v>
      </c>
      <c r="G683" s="126"/>
      <c r="H683" s="126"/>
      <c r="I683" s="126"/>
      <c r="J683" s="126"/>
      <c r="K683" s="126"/>
      <c r="L683" s="126"/>
      <c r="M683" s="126"/>
      <c r="N683" s="126"/>
      <c r="O683" s="126"/>
      <c r="P683" s="126" t="s">
        <v>711</v>
      </c>
      <c r="Q683" s="126"/>
    </row>
    <row r="684" spans="2:17" x14ac:dyDescent="0.25">
      <c r="B684" s="126" t="s">
        <v>494</v>
      </c>
      <c r="C684" s="126"/>
      <c r="D684" s="126" t="s">
        <v>495</v>
      </c>
      <c r="E684" s="126"/>
      <c r="F684" s="126" t="s">
        <v>496</v>
      </c>
      <c r="G684" s="126"/>
      <c r="H684" s="126"/>
      <c r="I684" s="126"/>
      <c r="J684" s="126"/>
      <c r="K684" s="126"/>
      <c r="L684" s="126"/>
      <c r="M684" s="126"/>
      <c r="N684" s="126"/>
      <c r="O684" s="126"/>
      <c r="P684" s="126" t="s">
        <v>497</v>
      </c>
      <c r="Q684" s="126"/>
    </row>
    <row r="685" spans="2:17" x14ac:dyDescent="0.25">
      <c r="B685" s="126" t="s">
        <v>498</v>
      </c>
      <c r="C685" s="126"/>
      <c r="D685" s="126" t="s">
        <v>495</v>
      </c>
      <c r="E685" s="126"/>
      <c r="F685" s="126" t="s">
        <v>499</v>
      </c>
      <c r="G685" s="126"/>
      <c r="H685" s="126"/>
      <c r="I685" s="126"/>
      <c r="J685" s="126"/>
      <c r="K685" s="126"/>
      <c r="L685" s="126"/>
      <c r="M685" s="126"/>
      <c r="N685" s="126"/>
      <c r="O685" s="126"/>
      <c r="P685" s="126" t="s">
        <v>497</v>
      </c>
      <c r="Q685" s="126"/>
    </row>
    <row r="686" spans="2:17" x14ac:dyDescent="0.25">
      <c r="B686" s="126" t="s">
        <v>500</v>
      </c>
      <c r="C686" s="126"/>
      <c r="D686" s="126" t="s">
        <v>495</v>
      </c>
      <c r="E686" s="126"/>
      <c r="F686" s="126" t="s">
        <v>501</v>
      </c>
      <c r="G686" s="126"/>
      <c r="H686" s="126"/>
      <c r="I686" s="126"/>
      <c r="J686" s="126"/>
      <c r="K686" s="126"/>
      <c r="L686" s="126"/>
      <c r="M686" s="126"/>
      <c r="N686" s="126"/>
      <c r="O686" s="126"/>
      <c r="P686" s="126" t="s">
        <v>497</v>
      </c>
      <c r="Q686" s="126"/>
    </row>
    <row r="687" spans="2:17" x14ac:dyDescent="0.25">
      <c r="B687" s="126" t="s">
        <v>502</v>
      </c>
      <c r="C687" s="126"/>
      <c r="D687" s="126" t="s">
        <v>495</v>
      </c>
      <c r="E687" s="126"/>
      <c r="F687" s="126" t="s">
        <v>503</v>
      </c>
      <c r="G687" s="126"/>
      <c r="H687" s="126"/>
      <c r="I687" s="126"/>
      <c r="J687" s="126"/>
      <c r="K687" s="126"/>
      <c r="L687" s="126"/>
      <c r="M687" s="126"/>
      <c r="N687" s="126"/>
      <c r="O687" s="126"/>
      <c r="P687" s="126" t="s">
        <v>497</v>
      </c>
      <c r="Q687" s="126"/>
    </row>
    <row r="688" spans="2:17" x14ac:dyDescent="0.25">
      <c r="B688" s="126" t="s">
        <v>504</v>
      </c>
      <c r="C688" s="126"/>
      <c r="D688" s="126" t="s">
        <v>495</v>
      </c>
      <c r="E688" s="126"/>
      <c r="F688" s="126" t="s">
        <v>505</v>
      </c>
      <c r="G688" s="126"/>
      <c r="H688" s="126"/>
      <c r="I688" s="126"/>
      <c r="J688" s="126"/>
      <c r="K688" s="126"/>
      <c r="L688" s="126"/>
      <c r="M688" s="126"/>
      <c r="N688" s="126"/>
      <c r="O688" s="126"/>
      <c r="P688" s="126" t="s">
        <v>497</v>
      </c>
      <c r="Q688" s="126"/>
    </row>
    <row r="689" spans="2:17" x14ac:dyDescent="0.25">
      <c r="B689" s="126" t="s">
        <v>544</v>
      </c>
      <c r="C689" s="126"/>
      <c r="D689" s="126" t="s">
        <v>545</v>
      </c>
      <c r="E689" s="126"/>
      <c r="F689" s="126" t="s">
        <v>546</v>
      </c>
      <c r="G689" s="126"/>
      <c r="H689" s="126"/>
      <c r="I689" s="126"/>
      <c r="J689" s="126"/>
      <c r="K689" s="126"/>
      <c r="L689" s="126"/>
      <c r="M689" s="126"/>
      <c r="N689" s="126"/>
      <c r="O689" s="126"/>
      <c r="P689" s="126" t="s">
        <v>359</v>
      </c>
      <c r="Q689" s="126"/>
    </row>
    <row r="690" spans="2:17" x14ac:dyDescent="0.25">
      <c r="B690" s="126" t="s">
        <v>547</v>
      </c>
      <c r="C690" s="126"/>
      <c r="D690" s="126" t="s">
        <v>545</v>
      </c>
      <c r="E690" s="126"/>
      <c r="F690" s="126" t="s">
        <v>548</v>
      </c>
      <c r="G690" s="126"/>
      <c r="H690" s="126"/>
      <c r="I690" s="126"/>
      <c r="J690" s="126"/>
      <c r="K690" s="126"/>
      <c r="L690" s="126"/>
      <c r="M690" s="126"/>
      <c r="N690" s="126"/>
      <c r="O690" s="126"/>
      <c r="P690" s="126" t="s">
        <v>359</v>
      </c>
      <c r="Q690" s="126"/>
    </row>
    <row r="691" spans="2:17" x14ac:dyDescent="0.25">
      <c r="B691" s="126" t="s">
        <v>549</v>
      </c>
      <c r="C691" s="126"/>
      <c r="D691" s="126" t="s">
        <v>545</v>
      </c>
      <c r="E691" s="126"/>
      <c r="F691" s="126" t="s">
        <v>591</v>
      </c>
      <c r="G691" s="126"/>
      <c r="H691" s="126"/>
      <c r="I691" s="126"/>
      <c r="J691" s="126"/>
      <c r="K691" s="126"/>
      <c r="L691" s="126"/>
      <c r="M691" s="126"/>
      <c r="N691" s="126"/>
      <c r="O691" s="126"/>
      <c r="P691" s="126" t="s">
        <v>359</v>
      </c>
      <c r="Q691" s="126"/>
    </row>
    <row r="692" spans="2:17" x14ac:dyDescent="0.25">
      <c r="B692" s="126" t="s">
        <v>550</v>
      </c>
      <c r="C692" s="126"/>
      <c r="D692" s="126" t="s">
        <v>545</v>
      </c>
      <c r="E692" s="126"/>
      <c r="F692" s="126" t="s">
        <v>551</v>
      </c>
      <c r="G692" s="126"/>
      <c r="H692" s="126"/>
      <c r="I692" s="126"/>
      <c r="J692" s="126"/>
      <c r="K692" s="126"/>
      <c r="L692" s="126"/>
      <c r="M692" s="126"/>
      <c r="N692" s="126"/>
      <c r="O692" s="126"/>
      <c r="P692" s="126" t="s">
        <v>359</v>
      </c>
      <c r="Q692" s="126"/>
    </row>
    <row r="693" spans="2:17" x14ac:dyDescent="0.25">
      <c r="B693" s="126" t="s">
        <v>595</v>
      </c>
      <c r="C693" s="126"/>
      <c r="D693" s="126" t="s">
        <v>717</v>
      </c>
      <c r="E693" s="126"/>
      <c r="F693" s="126" t="s">
        <v>718</v>
      </c>
      <c r="G693" s="126"/>
      <c r="H693" s="126"/>
      <c r="I693" s="126"/>
      <c r="J693" s="126"/>
      <c r="K693" s="126"/>
      <c r="L693" s="126"/>
      <c r="M693" s="126"/>
      <c r="N693" s="126"/>
      <c r="O693" s="126"/>
      <c r="P693" s="126" t="s">
        <v>597</v>
      </c>
      <c r="Q693" s="126"/>
    </row>
    <row r="694" spans="2:17" x14ac:dyDescent="0.25">
      <c r="B694" s="126" t="s">
        <v>719</v>
      </c>
      <c r="C694" s="126"/>
      <c r="D694" s="126" t="s">
        <v>717</v>
      </c>
      <c r="E694" s="126"/>
      <c r="F694" s="126" t="s">
        <v>720</v>
      </c>
      <c r="G694" s="126"/>
      <c r="H694" s="126"/>
      <c r="I694" s="126"/>
      <c r="J694" s="126"/>
      <c r="K694" s="126"/>
      <c r="L694" s="126"/>
      <c r="M694" s="126"/>
      <c r="N694" s="126"/>
      <c r="O694" s="126"/>
      <c r="P694" s="126" t="s">
        <v>597</v>
      </c>
      <c r="Q694" s="126"/>
    </row>
    <row r="695" spans="2:17" x14ac:dyDescent="0.25">
      <c r="B695" s="126" t="s">
        <v>721</v>
      </c>
      <c r="C695" s="126"/>
      <c r="D695" s="126" t="s">
        <v>722</v>
      </c>
      <c r="E695" s="126"/>
      <c r="F695" s="126" t="str">
        <f>"Gain a +"&amp;D482&amp;" untyped bonus to appraise and search checks, and can cast locate object at will."</f>
        <v>Gain a + untyped bonus to appraise and search checks, and can cast locate object at will.</v>
      </c>
      <c r="G695" s="126"/>
      <c r="H695" s="126"/>
      <c r="I695" s="126"/>
      <c r="J695" s="126"/>
      <c r="K695" s="126"/>
      <c r="L695" s="126"/>
      <c r="M695" s="126"/>
      <c r="N695" s="126"/>
      <c r="O695" s="126"/>
      <c r="P695" s="126" t="s">
        <v>723</v>
      </c>
      <c r="Q695" s="126"/>
    </row>
    <row r="696" spans="2:17" x14ac:dyDescent="0.25">
      <c r="B696" s="126" t="s">
        <v>724</v>
      </c>
      <c r="C696" s="126"/>
      <c r="D696" s="126" t="s">
        <v>722</v>
      </c>
      <c r="E696" s="126"/>
      <c r="F696" s="126" t="s">
        <v>725</v>
      </c>
      <c r="G696" s="126"/>
      <c r="H696" s="126"/>
      <c r="I696" s="126"/>
      <c r="J696" s="126"/>
      <c r="K696" s="126"/>
      <c r="L696" s="126"/>
      <c r="M696" s="126"/>
      <c r="N696" s="126"/>
      <c r="O696" s="126"/>
      <c r="P696" s="126" t="s">
        <v>723</v>
      </c>
      <c r="Q696" s="126"/>
    </row>
    <row r="697" spans="2:17" x14ac:dyDescent="0.25">
      <c r="B697" s="126" t="s">
        <v>726</v>
      </c>
      <c r="C697" s="126"/>
      <c r="D697" s="126" t="s">
        <v>722</v>
      </c>
      <c r="E697" s="126"/>
      <c r="F697" s="126" t="str">
        <f>"Gain "&amp;D482*2&amp;" temporary hit points for the duration of the bind."</f>
        <v>Gain 0 temporary hit points for the duration of the bind.</v>
      </c>
      <c r="G697" s="126"/>
      <c r="H697" s="126"/>
      <c r="I697" s="126"/>
      <c r="J697" s="126"/>
      <c r="K697" s="126"/>
      <c r="L697" s="126"/>
      <c r="M697" s="126"/>
      <c r="N697" s="126"/>
      <c r="O697" s="126"/>
      <c r="P697" s="126" t="s">
        <v>723</v>
      </c>
      <c r="Q697" s="126"/>
    </row>
    <row r="698" spans="2:17" x14ac:dyDescent="0.25">
      <c r="B698" s="126" t="s">
        <v>727</v>
      </c>
      <c r="C698" s="126"/>
      <c r="D698" s="126" t="s">
        <v>722</v>
      </c>
      <c r="E698" s="126"/>
      <c r="F698" s="126" t="s">
        <v>728</v>
      </c>
      <c r="G698" s="126"/>
      <c r="H698" s="126"/>
      <c r="I698" s="126"/>
      <c r="J698" s="126"/>
      <c r="K698" s="126"/>
      <c r="L698" s="126"/>
      <c r="M698" s="126"/>
      <c r="N698" s="126"/>
      <c r="O698" s="126"/>
      <c r="P698" s="126" t="s">
        <v>723</v>
      </c>
      <c r="Q698" s="126"/>
    </row>
    <row r="699" spans="2:17" x14ac:dyDescent="0.25">
      <c r="B699" s="126" t="s">
        <v>509</v>
      </c>
      <c r="C699" s="126"/>
      <c r="D699" s="126" t="s">
        <v>729</v>
      </c>
      <c r="E699" s="126"/>
      <c r="F699" s="126" t="s">
        <v>730</v>
      </c>
      <c r="G699" s="126"/>
      <c r="H699" s="126"/>
      <c r="I699" s="126"/>
      <c r="J699" s="126"/>
      <c r="K699" s="126"/>
      <c r="L699" s="126"/>
      <c r="M699" s="126"/>
      <c r="N699" s="126"/>
      <c r="O699" s="126"/>
      <c r="P699" s="126" t="s">
        <v>731</v>
      </c>
      <c r="Q699" s="126"/>
    </row>
    <row r="700" spans="2:17" x14ac:dyDescent="0.25">
      <c r="B700" s="126" t="s">
        <v>732</v>
      </c>
      <c r="C700" s="126"/>
      <c r="D700" s="126" t="s">
        <v>729</v>
      </c>
      <c r="E700" s="126"/>
      <c r="F700" s="126" t="s">
        <v>733</v>
      </c>
      <c r="G700" s="126"/>
      <c r="H700" s="126"/>
      <c r="I700" s="126"/>
      <c r="J700" s="126"/>
      <c r="K700" s="126"/>
      <c r="L700" s="126"/>
      <c r="M700" s="126"/>
      <c r="N700" s="126"/>
      <c r="O700" s="126"/>
      <c r="P700" s="126" t="s">
        <v>731</v>
      </c>
      <c r="Q700" s="126"/>
    </row>
    <row r="701" spans="2:17" x14ac:dyDescent="0.25">
      <c r="B701" s="126" t="s">
        <v>734</v>
      </c>
      <c r="C701" s="126"/>
      <c r="D701" s="126" t="s">
        <v>729</v>
      </c>
      <c r="E701" s="126"/>
      <c r="F701" s="126" t="s">
        <v>735</v>
      </c>
      <c r="G701" s="126"/>
      <c r="H701" s="126"/>
      <c r="I701" s="126"/>
      <c r="J701" s="126"/>
      <c r="K701" s="126"/>
      <c r="L701" s="126"/>
      <c r="M701" s="126"/>
      <c r="N701" s="126"/>
      <c r="O701" s="126"/>
      <c r="P701" s="126" t="s">
        <v>731</v>
      </c>
      <c r="Q701" s="126"/>
    </row>
    <row r="702" spans="2:17" x14ac:dyDescent="0.25">
      <c r="B702" s="126" t="s">
        <v>736</v>
      </c>
      <c r="C702" s="126"/>
      <c r="D702" s="126" t="s">
        <v>729</v>
      </c>
      <c r="E702" s="126"/>
      <c r="F702" s="126" t="s">
        <v>737</v>
      </c>
      <c r="G702" s="126"/>
      <c r="H702" s="126"/>
      <c r="I702" s="126"/>
      <c r="J702" s="126"/>
      <c r="K702" s="126"/>
      <c r="L702" s="126"/>
      <c r="M702" s="126"/>
      <c r="N702" s="126"/>
      <c r="O702" s="126"/>
      <c r="P702" s="126" t="s">
        <v>731</v>
      </c>
      <c r="Q702" s="126"/>
    </row>
    <row r="703" spans="2:17" x14ac:dyDescent="0.25">
      <c r="B703" s="126" t="s">
        <v>738</v>
      </c>
      <c r="C703" s="126"/>
      <c r="D703" s="126" t="s">
        <v>729</v>
      </c>
      <c r="E703" s="126"/>
      <c r="F703" s="126" t="s">
        <v>739</v>
      </c>
      <c r="G703" s="126"/>
      <c r="H703" s="126"/>
      <c r="I703" s="126"/>
      <c r="J703" s="126"/>
      <c r="K703" s="126"/>
      <c r="L703" s="126"/>
      <c r="M703" s="126"/>
      <c r="N703" s="126"/>
      <c r="O703" s="126"/>
      <c r="P703" s="126" t="s">
        <v>731</v>
      </c>
      <c r="Q703" s="126"/>
    </row>
    <row r="704" spans="2:17" x14ac:dyDescent="0.25">
      <c r="B704" s="126" t="s">
        <v>413</v>
      </c>
      <c r="C704" s="126"/>
      <c r="D704" s="126" t="s">
        <v>740</v>
      </c>
      <c r="E704" s="126"/>
      <c r="F704" s="126" t="s">
        <v>741</v>
      </c>
      <c r="G704" s="126"/>
      <c r="H704" s="126"/>
      <c r="I704" s="126"/>
      <c r="J704" s="126"/>
      <c r="K704" s="126"/>
      <c r="L704" s="126"/>
      <c r="M704" s="126"/>
      <c r="N704" s="126"/>
      <c r="O704" s="126"/>
      <c r="P704" s="126" t="s">
        <v>363</v>
      </c>
      <c r="Q704" s="126"/>
    </row>
    <row r="705" spans="2:29" x14ac:dyDescent="0.25">
      <c r="B705" s="126" t="s">
        <v>742</v>
      </c>
      <c r="C705" s="126"/>
      <c r="D705" s="126" t="s">
        <v>740</v>
      </c>
      <c r="E705" s="126"/>
      <c r="F705" s="126" t="s">
        <v>743</v>
      </c>
      <c r="G705" s="126"/>
      <c r="H705" s="126"/>
      <c r="I705" s="126"/>
      <c r="J705" s="126"/>
      <c r="K705" s="126"/>
      <c r="L705" s="126"/>
      <c r="M705" s="126"/>
      <c r="N705" s="126"/>
      <c r="O705" s="126"/>
      <c r="P705" s="126" t="s">
        <v>363</v>
      </c>
      <c r="Q705" s="126"/>
    </row>
    <row r="706" spans="2:29" x14ac:dyDescent="0.25">
      <c r="B706" s="126" t="s">
        <v>744</v>
      </c>
      <c r="C706" s="126"/>
      <c r="D706" s="126" t="s">
        <v>740</v>
      </c>
      <c r="E706" s="126"/>
      <c r="F706" s="126" t="str">
        <f>"60 ft. cone breath weapon deals "&amp;D482&amp;"d6 damage.  All creatures in the area must make a reflex save or be knocked prone or moved 1d4x10 ft. away.  1/5 rounds."</f>
        <v>60 ft. cone breath weapon deals d6 damage.  All creatures in the area must make a reflex save or be knocked prone or moved 1d4x10 ft. away.  1/5 rounds.</v>
      </c>
      <c r="G706" s="126"/>
      <c r="H706" s="126"/>
      <c r="I706" s="126"/>
      <c r="J706" s="126"/>
      <c r="K706" s="126"/>
      <c r="L706" s="126"/>
      <c r="M706" s="126"/>
      <c r="N706" s="126"/>
      <c r="O706" s="126"/>
      <c r="P706" s="126" t="s">
        <v>363</v>
      </c>
      <c r="Q706" s="126"/>
    </row>
    <row r="707" spans="2:29" x14ac:dyDescent="0.25">
      <c r="B707" s="126" t="s">
        <v>745</v>
      </c>
      <c r="C707" s="126"/>
      <c r="D707" s="126" t="s">
        <v>740</v>
      </c>
      <c r="E707" s="126"/>
      <c r="F707" s="126" t="s">
        <v>746</v>
      </c>
      <c r="G707" s="126"/>
      <c r="H707" s="126"/>
      <c r="I707" s="126"/>
      <c r="J707" s="126"/>
      <c r="K707" s="126"/>
      <c r="L707" s="126"/>
      <c r="M707" s="126"/>
      <c r="N707" s="126"/>
      <c r="O707" s="126"/>
      <c r="P707" s="126" t="s">
        <v>363</v>
      </c>
      <c r="Q707" s="126"/>
    </row>
    <row r="708" spans="2:29" s="13" customFormat="1" x14ac:dyDescent="0.25">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row>
    <row r="709" spans="2:29" s="11" customFormat="1" ht="28.5" x14ac:dyDescent="0.45">
      <c r="B709" s="23" t="s">
        <v>232</v>
      </c>
    </row>
    <row r="710" spans="2:29" s="7" customFormat="1" x14ac:dyDescent="0.25"/>
    <row r="711" spans="2:29" x14ac:dyDescent="0.25">
      <c r="B711" s="131" t="s">
        <v>233</v>
      </c>
      <c r="C711" s="132"/>
      <c r="D711" s="133"/>
      <c r="E711" s="2"/>
    </row>
    <row r="712" spans="2:29" x14ac:dyDescent="0.25">
      <c r="B712" s="131" t="s">
        <v>234</v>
      </c>
      <c r="C712" s="132"/>
      <c r="D712" s="133"/>
      <c r="E712" s="2"/>
    </row>
    <row r="713" spans="2:29" x14ac:dyDescent="0.25">
      <c r="B713" s="94" t="s">
        <v>235</v>
      </c>
      <c r="C713" s="95"/>
      <c r="D713" s="96"/>
      <c r="E713" s="2"/>
    </row>
    <row r="714" spans="2:29" x14ac:dyDescent="0.25">
      <c r="B714" s="94" t="s">
        <v>236</v>
      </c>
      <c r="C714" s="95"/>
      <c r="D714" s="96"/>
      <c r="E714" s="2"/>
    </row>
    <row r="716" spans="2:29" x14ac:dyDescent="0.25">
      <c r="B716" s="7" t="s">
        <v>237</v>
      </c>
    </row>
    <row r="717" spans="2:29" x14ac:dyDescent="0.25">
      <c r="B717" s="44" t="s">
        <v>238</v>
      </c>
      <c r="C717" s="44" t="s">
        <v>240</v>
      </c>
      <c r="D717" s="44" t="s">
        <v>242</v>
      </c>
      <c r="E717" s="131" t="s">
        <v>239</v>
      </c>
      <c r="F717" s="132"/>
      <c r="G717" s="133"/>
      <c r="H717" s="131" t="s">
        <v>42</v>
      </c>
      <c r="I717" s="133"/>
      <c r="AB717" s="7"/>
      <c r="AC717" s="7"/>
    </row>
    <row r="718" spans="2:29" x14ac:dyDescent="0.25">
      <c r="B718" s="18"/>
      <c r="C718" s="18"/>
      <c r="D718" s="18"/>
      <c r="E718" s="142"/>
      <c r="F718" s="144"/>
      <c r="G718" s="143"/>
      <c r="H718" s="142"/>
      <c r="I718" s="143"/>
      <c r="AB718" s="7"/>
      <c r="AC718" s="7"/>
    </row>
    <row r="719" spans="2:29" x14ac:dyDescent="0.25">
      <c r="B719" s="18"/>
      <c r="C719" s="18"/>
      <c r="D719" s="18"/>
      <c r="E719" s="142"/>
      <c r="F719" s="144"/>
      <c r="G719" s="143"/>
      <c r="H719" s="142"/>
      <c r="I719" s="143"/>
      <c r="AB719" s="7"/>
      <c r="AC719" s="7"/>
    </row>
    <row r="720" spans="2:29" x14ac:dyDescent="0.25">
      <c r="B720" s="18"/>
      <c r="C720" s="18"/>
      <c r="D720" s="18"/>
      <c r="E720" s="142"/>
      <c r="F720" s="144"/>
      <c r="G720" s="143"/>
      <c r="H720" s="142"/>
      <c r="I720" s="143"/>
      <c r="AB720" s="7"/>
      <c r="AC720" s="7"/>
    </row>
    <row r="721" spans="2:29" x14ac:dyDescent="0.25">
      <c r="B721" s="18"/>
      <c r="C721" s="18"/>
      <c r="D721" s="18"/>
      <c r="E721" s="142"/>
      <c r="F721" s="144"/>
      <c r="G721" s="143"/>
      <c r="H721" s="142"/>
      <c r="I721" s="143"/>
      <c r="AB721" s="7"/>
      <c r="AC721" s="7"/>
    </row>
    <row r="723" spans="2:29" x14ac:dyDescent="0.25">
      <c r="B723" s="7" t="s">
        <v>241</v>
      </c>
    </row>
    <row r="724" spans="2:29" x14ac:dyDescent="0.25">
      <c r="B724" s="41" t="s">
        <v>238</v>
      </c>
      <c r="C724" s="93" t="s">
        <v>239</v>
      </c>
      <c r="D724" s="93"/>
      <c r="E724" s="93"/>
      <c r="F724" s="131" t="s">
        <v>42</v>
      </c>
      <c r="G724" s="133"/>
      <c r="H724" s="94" t="s">
        <v>93</v>
      </c>
      <c r="I724" s="95"/>
      <c r="J724" s="95"/>
      <c r="K724" s="95"/>
      <c r="L724" s="95"/>
      <c r="M724" s="95"/>
      <c r="N724" s="95"/>
      <c r="O724" s="95"/>
      <c r="P724" s="95"/>
      <c r="Q724" s="95"/>
      <c r="R724" s="95"/>
      <c r="S724" s="95"/>
      <c r="T724" s="95"/>
      <c r="U724" s="95"/>
      <c r="V724" s="95"/>
      <c r="W724" s="95"/>
      <c r="X724" s="95"/>
      <c r="Y724" s="95"/>
      <c r="Z724" s="96"/>
    </row>
    <row r="725" spans="2:29" x14ac:dyDescent="0.25">
      <c r="B725" s="42"/>
      <c r="C725" s="127"/>
      <c r="D725" s="127"/>
      <c r="E725" s="127"/>
      <c r="F725" s="142"/>
      <c r="G725" s="143"/>
      <c r="H725" s="128"/>
      <c r="I725" s="130"/>
      <c r="J725" s="130"/>
      <c r="K725" s="130"/>
      <c r="L725" s="130"/>
      <c r="M725" s="130"/>
      <c r="N725" s="130"/>
      <c r="O725" s="130"/>
      <c r="P725" s="130"/>
      <c r="Q725" s="130"/>
      <c r="R725" s="130"/>
      <c r="S725" s="130"/>
      <c r="T725" s="130"/>
      <c r="U725" s="130"/>
      <c r="V725" s="130"/>
      <c r="W725" s="130"/>
      <c r="X725" s="130"/>
      <c r="Y725" s="130"/>
      <c r="Z725" s="129"/>
    </row>
    <row r="726" spans="2:29" x14ac:dyDescent="0.25">
      <c r="B726" s="42"/>
      <c r="C726" s="127"/>
      <c r="D726" s="127"/>
      <c r="E726" s="127"/>
      <c r="F726" s="142"/>
      <c r="G726" s="143"/>
      <c r="H726" s="128"/>
      <c r="I726" s="130"/>
      <c r="J726" s="130"/>
      <c r="K726" s="130"/>
      <c r="L726" s="130"/>
      <c r="M726" s="130"/>
      <c r="N726" s="130"/>
      <c r="O726" s="130"/>
      <c r="P726" s="130"/>
      <c r="Q726" s="130"/>
      <c r="R726" s="130"/>
      <c r="S726" s="130"/>
      <c r="T726" s="130"/>
      <c r="U726" s="130"/>
      <c r="V726" s="130"/>
      <c r="W726" s="130"/>
      <c r="X726" s="130"/>
      <c r="Y726" s="130"/>
      <c r="Z726" s="129"/>
    </row>
    <row r="727" spans="2:29" x14ac:dyDescent="0.25">
      <c r="B727" s="42"/>
      <c r="C727" s="127"/>
      <c r="D727" s="127"/>
      <c r="E727" s="127"/>
      <c r="F727" s="142"/>
      <c r="G727" s="143"/>
      <c r="H727" s="128"/>
      <c r="I727" s="130"/>
      <c r="J727" s="130"/>
      <c r="K727" s="130"/>
      <c r="L727" s="130"/>
      <c r="M727" s="130"/>
      <c r="N727" s="130"/>
      <c r="O727" s="130"/>
      <c r="P727" s="130"/>
      <c r="Q727" s="130"/>
      <c r="R727" s="130"/>
      <c r="S727" s="130"/>
      <c r="T727" s="130"/>
      <c r="U727" s="130"/>
      <c r="V727" s="130"/>
      <c r="W727" s="130"/>
      <c r="X727" s="130"/>
      <c r="Y727" s="130"/>
      <c r="Z727" s="129"/>
    </row>
    <row r="728" spans="2:29" x14ac:dyDescent="0.25">
      <c r="B728" s="42"/>
      <c r="C728" s="127"/>
      <c r="D728" s="127"/>
      <c r="E728" s="127"/>
      <c r="F728" s="142"/>
      <c r="G728" s="143"/>
      <c r="H728" s="128"/>
      <c r="I728" s="130"/>
      <c r="J728" s="130"/>
      <c r="K728" s="130"/>
      <c r="L728" s="130"/>
      <c r="M728" s="130"/>
      <c r="N728" s="130"/>
      <c r="O728" s="130"/>
      <c r="P728" s="130"/>
      <c r="Q728" s="130"/>
      <c r="R728" s="130"/>
      <c r="S728" s="130"/>
      <c r="T728" s="130"/>
      <c r="U728" s="130"/>
      <c r="V728" s="130"/>
      <c r="W728" s="130"/>
      <c r="X728" s="130"/>
      <c r="Y728" s="130"/>
      <c r="Z728" s="129"/>
    </row>
    <row r="729" spans="2:29" s="13" customFormat="1" x14ac:dyDescent="0.25">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row>
    <row r="730" spans="2:29" s="11" customFormat="1" ht="28.5" x14ac:dyDescent="0.45">
      <c r="B730" s="23" t="s">
        <v>766</v>
      </c>
    </row>
    <row r="731" spans="2:29" s="7" customFormat="1" x14ac:dyDescent="0.25"/>
    <row r="732" spans="2:29" x14ac:dyDescent="0.25">
      <c r="B732" s="85" t="s">
        <v>767</v>
      </c>
      <c r="C732" s="85"/>
      <c r="D732" s="2"/>
    </row>
    <row r="733" spans="2:29" s="7" customFormat="1" x14ac:dyDescent="0.25"/>
    <row r="734" spans="2:29" s="7" customFormat="1" x14ac:dyDescent="0.25">
      <c r="B734" s="7" t="s">
        <v>768</v>
      </c>
    </row>
    <row r="735" spans="2:29" s="7" customFormat="1" ht="15" customHeight="1" x14ac:dyDescent="0.25">
      <c r="B735" s="57" t="s">
        <v>769</v>
      </c>
      <c r="C735" s="58" t="s">
        <v>770</v>
      </c>
      <c r="D735" s="116" t="s">
        <v>175</v>
      </c>
      <c r="E735" s="116"/>
      <c r="F735" s="116"/>
      <c r="G735" s="57" t="s">
        <v>771</v>
      </c>
      <c r="H735" s="116" t="s">
        <v>772</v>
      </c>
      <c r="I735" s="116"/>
      <c r="J735" s="57" t="s">
        <v>773</v>
      </c>
      <c r="K735" s="57" t="s">
        <v>774</v>
      </c>
      <c r="L735" s="116" t="s">
        <v>42</v>
      </c>
      <c r="M735" s="116"/>
      <c r="N735" s="113" t="s">
        <v>775</v>
      </c>
      <c r="O735" s="115"/>
      <c r="P735" s="117" t="s">
        <v>776</v>
      </c>
      <c r="Q735" s="118"/>
      <c r="R735" s="118"/>
      <c r="S735" s="118"/>
      <c r="T735" s="118"/>
      <c r="U735" s="118"/>
      <c r="V735" s="118"/>
      <c r="W735" s="118"/>
      <c r="X735" s="118"/>
      <c r="Y735" s="118"/>
      <c r="Z735" s="119"/>
      <c r="AA735" s="59"/>
    </row>
    <row r="736" spans="2:29" s="60" customFormat="1" x14ac:dyDescent="0.25">
      <c r="B736" s="61"/>
      <c r="C736" s="61"/>
      <c r="D736" s="123"/>
      <c r="E736" s="123"/>
      <c r="F736" s="123"/>
      <c r="G736" s="61"/>
      <c r="H736" s="125">
        <f t="shared" ref="H736:H738" si="7">FLOOR(25*IF(B736=0,0.5,B736)*C736,0.01)</f>
        <v>0</v>
      </c>
      <c r="I736" s="125"/>
      <c r="J736" s="63">
        <f t="shared" ref="J736:J738" si="8">FLOOR(((H736*0.75)*0.5)*G736,0.01)</f>
        <v>0</v>
      </c>
      <c r="K736" s="63">
        <f t="shared" ref="K736:K738" si="9">FLOOR(((H736*0.75)*0.04)*G736,1)</f>
        <v>0</v>
      </c>
      <c r="L736" s="123"/>
      <c r="M736" s="123"/>
      <c r="N736" s="120"/>
      <c r="O736" s="122"/>
      <c r="P736" s="120"/>
      <c r="Q736" s="121"/>
      <c r="R736" s="121"/>
      <c r="S736" s="121"/>
      <c r="T736" s="121"/>
      <c r="U736" s="121"/>
      <c r="V736" s="121"/>
      <c r="W736" s="121"/>
      <c r="X736" s="121"/>
      <c r="Y736" s="121"/>
      <c r="Z736" s="122"/>
      <c r="AA736" s="62"/>
    </row>
    <row r="737" spans="2:27" s="60" customFormat="1" x14ac:dyDescent="0.25">
      <c r="B737" s="61"/>
      <c r="C737" s="61"/>
      <c r="D737" s="123"/>
      <c r="E737" s="123"/>
      <c r="F737" s="123"/>
      <c r="G737" s="61"/>
      <c r="H737" s="125">
        <f t="shared" si="7"/>
        <v>0</v>
      </c>
      <c r="I737" s="125"/>
      <c r="J737" s="63">
        <f t="shared" si="8"/>
        <v>0</v>
      </c>
      <c r="K737" s="63">
        <f t="shared" si="9"/>
        <v>0</v>
      </c>
      <c r="L737" s="123"/>
      <c r="M737" s="123"/>
      <c r="N737" s="120"/>
      <c r="O737" s="122"/>
      <c r="P737" s="120"/>
      <c r="Q737" s="121"/>
      <c r="R737" s="121"/>
      <c r="S737" s="121"/>
      <c r="T737" s="121"/>
      <c r="U737" s="121"/>
      <c r="V737" s="121"/>
      <c r="W737" s="121"/>
      <c r="X737" s="121"/>
      <c r="Y737" s="121"/>
      <c r="Z737" s="122"/>
      <c r="AA737" s="62"/>
    </row>
    <row r="738" spans="2:27" s="60" customFormat="1" x14ac:dyDescent="0.25">
      <c r="B738" s="61"/>
      <c r="C738" s="61"/>
      <c r="D738" s="123"/>
      <c r="E738" s="123"/>
      <c r="F738" s="123"/>
      <c r="G738" s="61"/>
      <c r="H738" s="125">
        <f t="shared" si="7"/>
        <v>0</v>
      </c>
      <c r="I738" s="125"/>
      <c r="J738" s="63">
        <f t="shared" si="8"/>
        <v>0</v>
      </c>
      <c r="K738" s="63">
        <f t="shared" si="9"/>
        <v>0</v>
      </c>
      <c r="L738" s="123"/>
      <c r="M738" s="123"/>
      <c r="N738" s="120"/>
      <c r="O738" s="122"/>
      <c r="P738" s="120"/>
      <c r="Q738" s="121"/>
      <c r="R738" s="121"/>
      <c r="S738" s="121"/>
      <c r="T738" s="121"/>
      <c r="U738" s="121"/>
      <c r="V738" s="121"/>
      <c r="W738" s="121"/>
      <c r="X738" s="121"/>
      <c r="Y738" s="121"/>
      <c r="Z738" s="122"/>
      <c r="AA738" s="62"/>
    </row>
    <row r="739" spans="2:27" s="7" customFormat="1" x14ac:dyDescent="0.25"/>
    <row r="740" spans="2:27" s="7" customFormat="1" x14ac:dyDescent="0.25">
      <c r="B740" s="7" t="s">
        <v>777</v>
      </c>
    </row>
    <row r="741" spans="2:27" s="7" customFormat="1" ht="15" customHeight="1" x14ac:dyDescent="0.25">
      <c r="B741" s="57" t="s">
        <v>769</v>
      </c>
      <c r="C741" s="58" t="s">
        <v>770</v>
      </c>
      <c r="D741" s="116" t="s">
        <v>175</v>
      </c>
      <c r="E741" s="116"/>
      <c r="F741" s="116"/>
      <c r="G741" s="57" t="s">
        <v>771</v>
      </c>
      <c r="H741" s="116" t="s">
        <v>772</v>
      </c>
      <c r="I741" s="116"/>
      <c r="J741" s="57" t="s">
        <v>773</v>
      </c>
      <c r="K741" s="57" t="s">
        <v>774</v>
      </c>
      <c r="L741" s="116" t="s">
        <v>42</v>
      </c>
      <c r="M741" s="116"/>
      <c r="N741" s="124" t="s">
        <v>775</v>
      </c>
      <c r="O741" s="124"/>
      <c r="P741" s="43" t="s">
        <v>778</v>
      </c>
      <c r="Q741" s="116" t="s">
        <v>776</v>
      </c>
      <c r="R741" s="116"/>
      <c r="S741" s="116"/>
      <c r="T741" s="116"/>
      <c r="U741" s="116"/>
      <c r="V741" s="116"/>
      <c r="W741" s="116"/>
      <c r="X741" s="116"/>
      <c r="Y741" s="116"/>
      <c r="Z741" s="116"/>
      <c r="AA741" s="59"/>
    </row>
    <row r="742" spans="2:27" s="60" customFormat="1" x14ac:dyDescent="0.25">
      <c r="B742" s="61"/>
      <c r="C742" s="61"/>
      <c r="D742" s="123"/>
      <c r="E742" s="123"/>
      <c r="F742" s="123"/>
      <c r="G742" s="61"/>
      <c r="H742" s="125">
        <f>FLOOR(750*IF(B742=0,0.5,B742)*C742,0.01)</f>
        <v>0</v>
      </c>
      <c r="I742" s="125"/>
      <c r="J742" s="63">
        <f>FLOOR(((H742*0.75)*0.5)*G742,0.01)</f>
        <v>0</v>
      </c>
      <c r="K742" s="63">
        <f>FLOOR(((H742*0.75)*0.04)*G742,1)</f>
        <v>0</v>
      </c>
      <c r="L742" s="123"/>
      <c r="M742" s="123"/>
      <c r="N742" s="123"/>
      <c r="O742" s="123"/>
      <c r="P742" s="61"/>
      <c r="Q742" s="123"/>
      <c r="R742" s="123"/>
      <c r="S742" s="123"/>
      <c r="T742" s="123"/>
      <c r="U742" s="123"/>
      <c r="V742" s="123"/>
      <c r="W742" s="123"/>
      <c r="X742" s="123"/>
      <c r="Y742" s="123"/>
      <c r="Z742" s="123"/>
      <c r="AA742" s="62"/>
    </row>
    <row r="743" spans="2:27" s="60" customFormat="1" x14ac:dyDescent="0.25">
      <c r="B743" s="61"/>
      <c r="C743" s="61"/>
      <c r="D743" s="123"/>
      <c r="E743" s="123"/>
      <c r="F743" s="123"/>
      <c r="G743" s="61"/>
      <c r="H743" s="125">
        <f t="shared" ref="H743:H744" si="10">FLOOR(750*IF(B743=0,0.5,B743)*C743,0.01)</f>
        <v>0</v>
      </c>
      <c r="I743" s="125"/>
      <c r="J743" s="63">
        <f t="shared" ref="J743:J744" si="11">FLOOR(((H743*0.75)*0.5)*G743,0.01)</f>
        <v>0</v>
      </c>
      <c r="K743" s="63">
        <f t="shared" ref="K743:K744" si="12">FLOOR(((H743*0.75)*0.04)*G743,1)</f>
        <v>0</v>
      </c>
      <c r="L743" s="123"/>
      <c r="M743" s="123"/>
      <c r="N743" s="123"/>
      <c r="O743" s="123"/>
      <c r="P743" s="61"/>
      <c r="Q743" s="123"/>
      <c r="R743" s="123"/>
      <c r="S743" s="123"/>
      <c r="T743" s="123"/>
      <c r="U743" s="123"/>
      <c r="V743" s="123"/>
      <c r="W743" s="123"/>
      <c r="X743" s="123"/>
      <c r="Y743" s="123"/>
      <c r="Z743" s="123"/>
      <c r="AA743" s="62"/>
    </row>
    <row r="744" spans="2:27" s="60" customFormat="1" x14ac:dyDescent="0.25">
      <c r="B744" s="61"/>
      <c r="C744" s="61"/>
      <c r="D744" s="123"/>
      <c r="E744" s="123"/>
      <c r="F744" s="123"/>
      <c r="G744" s="61"/>
      <c r="H744" s="125">
        <f t="shared" si="10"/>
        <v>0</v>
      </c>
      <c r="I744" s="125"/>
      <c r="J744" s="63">
        <f t="shared" si="11"/>
        <v>0</v>
      </c>
      <c r="K744" s="63">
        <f t="shared" si="12"/>
        <v>0</v>
      </c>
      <c r="L744" s="123"/>
      <c r="M744" s="123"/>
      <c r="N744" s="123"/>
      <c r="O744" s="123"/>
      <c r="P744" s="61"/>
      <c r="Q744" s="123"/>
      <c r="R744" s="123"/>
      <c r="S744" s="123"/>
      <c r="T744" s="123"/>
      <c r="U744" s="123"/>
      <c r="V744" s="123"/>
      <c r="W744" s="123"/>
      <c r="X744" s="123"/>
      <c r="Y744" s="123"/>
      <c r="Z744" s="123"/>
      <c r="AA744" s="62"/>
    </row>
    <row r="745" spans="2:27" s="7" customFormat="1" x14ac:dyDescent="0.25"/>
    <row r="746" spans="2:27" s="7" customFormat="1" x14ac:dyDescent="0.25">
      <c r="B746" s="7" t="s">
        <v>779</v>
      </c>
    </row>
    <row r="747" spans="2:27" s="7" customFormat="1" ht="15" customHeight="1" x14ac:dyDescent="0.25">
      <c r="B747" s="57" t="s">
        <v>770</v>
      </c>
      <c r="C747" s="113" t="s">
        <v>41</v>
      </c>
      <c r="D747" s="114"/>
      <c r="E747" s="114"/>
      <c r="F747" s="115"/>
      <c r="G747" s="57" t="s">
        <v>771</v>
      </c>
      <c r="H747" s="116" t="s">
        <v>772</v>
      </c>
      <c r="I747" s="116"/>
      <c r="J747" s="57" t="s">
        <v>773</v>
      </c>
      <c r="K747" s="57" t="s">
        <v>774</v>
      </c>
      <c r="L747" s="116" t="s">
        <v>42</v>
      </c>
      <c r="M747" s="116"/>
      <c r="N747" s="113" t="s">
        <v>775</v>
      </c>
      <c r="O747" s="115"/>
      <c r="P747" s="117" t="s">
        <v>776</v>
      </c>
      <c r="Q747" s="118"/>
      <c r="R747" s="118"/>
      <c r="S747" s="118"/>
      <c r="T747" s="118"/>
      <c r="U747" s="118"/>
      <c r="V747" s="118"/>
      <c r="W747" s="118"/>
      <c r="X747" s="118"/>
      <c r="Y747" s="118"/>
      <c r="Z747" s="119"/>
      <c r="AA747" s="59"/>
    </row>
    <row r="748" spans="2:27" s="60" customFormat="1" x14ac:dyDescent="0.25">
      <c r="B748" s="61"/>
      <c r="C748" s="120"/>
      <c r="D748" s="121"/>
      <c r="E748" s="121"/>
      <c r="F748" s="122"/>
      <c r="G748" s="61"/>
      <c r="H748" s="123"/>
      <c r="I748" s="123"/>
      <c r="J748" s="63">
        <f t="shared" ref="J748:J750" si="13">FLOOR(((H748*0.75)*0.5)*G748,0.01)</f>
        <v>0</v>
      </c>
      <c r="K748" s="63">
        <f t="shared" ref="K748:K750" si="14">FLOOR(((H748*0.75)*0.04)*G748,1)</f>
        <v>0</v>
      </c>
      <c r="L748" s="123"/>
      <c r="M748" s="123"/>
      <c r="N748" s="120"/>
      <c r="O748" s="122"/>
      <c r="P748" s="120"/>
      <c r="Q748" s="121"/>
      <c r="R748" s="121"/>
      <c r="S748" s="121"/>
      <c r="T748" s="121"/>
      <c r="U748" s="121"/>
      <c r="V748" s="121"/>
      <c r="W748" s="121"/>
      <c r="X748" s="121"/>
      <c r="Y748" s="121"/>
      <c r="Z748" s="122"/>
      <c r="AA748" s="62"/>
    </row>
    <row r="749" spans="2:27" s="60" customFormat="1" x14ac:dyDescent="0.25">
      <c r="B749" s="61"/>
      <c r="C749" s="120"/>
      <c r="D749" s="121"/>
      <c r="E749" s="121"/>
      <c r="F749" s="122"/>
      <c r="G749" s="61"/>
      <c r="H749" s="123"/>
      <c r="I749" s="123"/>
      <c r="J749" s="63">
        <f t="shared" si="13"/>
        <v>0</v>
      </c>
      <c r="K749" s="63">
        <f t="shared" si="14"/>
        <v>0</v>
      </c>
      <c r="L749" s="123"/>
      <c r="M749" s="123"/>
      <c r="N749" s="120"/>
      <c r="O749" s="122"/>
      <c r="P749" s="120"/>
      <c r="Q749" s="121"/>
      <c r="R749" s="121"/>
      <c r="S749" s="121"/>
      <c r="T749" s="121"/>
      <c r="U749" s="121"/>
      <c r="V749" s="121"/>
      <c r="W749" s="121"/>
      <c r="X749" s="121"/>
      <c r="Y749" s="121"/>
      <c r="Z749" s="122"/>
      <c r="AA749" s="62"/>
    </row>
    <row r="750" spans="2:27" s="60" customFormat="1" x14ac:dyDescent="0.25">
      <c r="B750" s="61"/>
      <c r="C750" s="120"/>
      <c r="D750" s="121"/>
      <c r="E750" s="121"/>
      <c r="F750" s="122"/>
      <c r="G750" s="61"/>
      <c r="H750" s="123"/>
      <c r="I750" s="123"/>
      <c r="J750" s="63">
        <f t="shared" si="13"/>
        <v>0</v>
      </c>
      <c r="K750" s="63">
        <f t="shared" si="14"/>
        <v>0</v>
      </c>
      <c r="L750" s="123"/>
      <c r="M750" s="123"/>
      <c r="N750" s="120"/>
      <c r="O750" s="122"/>
      <c r="P750" s="120"/>
      <c r="Q750" s="121"/>
      <c r="R750" s="121"/>
      <c r="S750" s="121"/>
      <c r="T750" s="121"/>
      <c r="U750" s="121"/>
      <c r="V750" s="121"/>
      <c r="W750" s="121"/>
      <c r="X750" s="121"/>
      <c r="Y750" s="121"/>
      <c r="Z750" s="122"/>
      <c r="AA750" s="62"/>
    </row>
    <row r="752" spans="2:27" s="11" customFormat="1" ht="28.5" x14ac:dyDescent="0.45">
      <c r="B752" s="23" t="s">
        <v>265</v>
      </c>
    </row>
    <row r="753" spans="2:2" s="11" customFormat="1" ht="15" customHeight="1" x14ac:dyDescent="0.45">
      <c r="B753" s="4"/>
    </row>
  </sheetData>
  <sheetProtection formatCells="0" formatColumns="0" formatRows="0" insertColumns="0" insertRows="0" insertHyperlinks="0" deleteColumns="0" deleteRows="0" sort="0" autoFilter="0" pivotTables="0"/>
  <mergeCells count="2188">
    <mergeCell ref="G185:I185"/>
    <mergeCell ref="B156:F156"/>
    <mergeCell ref="G156:I156"/>
    <mergeCell ref="B157:F157"/>
    <mergeCell ref="G157:I157"/>
    <mergeCell ref="B158:F158"/>
    <mergeCell ref="G158:I158"/>
    <mergeCell ref="B159:F159"/>
    <mergeCell ref="G159:I159"/>
    <mergeCell ref="B160:F160"/>
    <mergeCell ref="G160:I160"/>
    <mergeCell ref="B161:F161"/>
    <mergeCell ref="G161:I161"/>
    <mergeCell ref="B162:F162"/>
    <mergeCell ref="G162:I162"/>
    <mergeCell ref="B163:F163"/>
    <mergeCell ref="G163:I163"/>
    <mergeCell ref="B164:F164"/>
    <mergeCell ref="G164:I164"/>
    <mergeCell ref="B147:F147"/>
    <mergeCell ref="G147:I147"/>
    <mergeCell ref="B148:F148"/>
    <mergeCell ref="G148:I148"/>
    <mergeCell ref="B149:F149"/>
    <mergeCell ref="G149:I149"/>
    <mergeCell ref="B150:F150"/>
    <mergeCell ref="G150:I150"/>
    <mergeCell ref="B151:F151"/>
    <mergeCell ref="G151:I151"/>
    <mergeCell ref="B152:F152"/>
    <mergeCell ref="G152:I152"/>
    <mergeCell ref="B153:F153"/>
    <mergeCell ref="G153:I153"/>
    <mergeCell ref="B154:F154"/>
    <mergeCell ref="G154:I154"/>
    <mergeCell ref="B155:F155"/>
    <mergeCell ref="G155:I155"/>
    <mergeCell ref="B138:F138"/>
    <mergeCell ref="G138:I138"/>
    <mergeCell ref="B139:F139"/>
    <mergeCell ref="G139:I139"/>
    <mergeCell ref="B140:F140"/>
    <mergeCell ref="G140:I140"/>
    <mergeCell ref="B141:F141"/>
    <mergeCell ref="G141:I141"/>
    <mergeCell ref="B142:F142"/>
    <mergeCell ref="G142:I142"/>
    <mergeCell ref="B143:F143"/>
    <mergeCell ref="G143:I143"/>
    <mergeCell ref="B144:F144"/>
    <mergeCell ref="G144:I144"/>
    <mergeCell ref="B145:F145"/>
    <mergeCell ref="G145:I145"/>
    <mergeCell ref="B146:F146"/>
    <mergeCell ref="G146:I146"/>
    <mergeCell ref="B129:F129"/>
    <mergeCell ref="G129:I129"/>
    <mergeCell ref="B130:F130"/>
    <mergeCell ref="G130:I130"/>
    <mergeCell ref="B131:F131"/>
    <mergeCell ref="G131:I131"/>
    <mergeCell ref="B132:F132"/>
    <mergeCell ref="G132:I132"/>
    <mergeCell ref="B133:F133"/>
    <mergeCell ref="G133:I133"/>
    <mergeCell ref="B134:F134"/>
    <mergeCell ref="G134:I134"/>
    <mergeCell ref="B135:F135"/>
    <mergeCell ref="G135:I135"/>
    <mergeCell ref="B136:F136"/>
    <mergeCell ref="G136:I136"/>
    <mergeCell ref="B137:F137"/>
    <mergeCell ref="G137:I137"/>
    <mergeCell ref="B120:F120"/>
    <mergeCell ref="G120:I120"/>
    <mergeCell ref="B121:F121"/>
    <mergeCell ref="G121:I121"/>
    <mergeCell ref="B122:F122"/>
    <mergeCell ref="G122:I122"/>
    <mergeCell ref="B123:F123"/>
    <mergeCell ref="G123:I123"/>
    <mergeCell ref="B124:F124"/>
    <mergeCell ref="G124:I124"/>
    <mergeCell ref="B125:F125"/>
    <mergeCell ref="G125:I125"/>
    <mergeCell ref="B126:F126"/>
    <mergeCell ref="G126:I126"/>
    <mergeCell ref="B127:F127"/>
    <mergeCell ref="G127:I127"/>
    <mergeCell ref="B128:F128"/>
    <mergeCell ref="G128:I128"/>
    <mergeCell ref="B111:F111"/>
    <mergeCell ref="G111:I111"/>
    <mergeCell ref="B112:F112"/>
    <mergeCell ref="G112:I112"/>
    <mergeCell ref="B113:F113"/>
    <mergeCell ref="G113:I113"/>
    <mergeCell ref="B114:F114"/>
    <mergeCell ref="G114:I114"/>
    <mergeCell ref="B115:F115"/>
    <mergeCell ref="G115:I115"/>
    <mergeCell ref="B116:F116"/>
    <mergeCell ref="G116:I116"/>
    <mergeCell ref="B117:F117"/>
    <mergeCell ref="G117:I117"/>
    <mergeCell ref="B118:F118"/>
    <mergeCell ref="G118:I118"/>
    <mergeCell ref="B119:F119"/>
    <mergeCell ref="G119:I119"/>
    <mergeCell ref="Q251:S251"/>
    <mergeCell ref="B249:E249"/>
    <mergeCell ref="F249:P249"/>
    <mergeCell ref="Q249:S249"/>
    <mergeCell ref="B250:E250"/>
    <mergeCell ref="F250:P250"/>
    <mergeCell ref="Q250:S250"/>
    <mergeCell ref="B245:E245"/>
    <mergeCell ref="F245:P245"/>
    <mergeCell ref="Q245:S245"/>
    <mergeCell ref="B246:E246"/>
    <mergeCell ref="F246:P246"/>
    <mergeCell ref="Q246:S246"/>
    <mergeCell ref="B247:E247"/>
    <mergeCell ref="F247:P247"/>
    <mergeCell ref="Q247:S247"/>
    <mergeCell ref="B248:E248"/>
    <mergeCell ref="F248:P248"/>
    <mergeCell ref="Q248:S248"/>
    <mergeCell ref="B304:C304"/>
    <mergeCell ref="B167:F167"/>
    <mergeCell ref="G167:I167"/>
    <mergeCell ref="B165:F165"/>
    <mergeCell ref="G165:I165"/>
    <mergeCell ref="B166:F166"/>
    <mergeCell ref="G166:I166"/>
    <mergeCell ref="G175:I175"/>
    <mergeCell ref="K199:L199"/>
    <mergeCell ref="H199:J199"/>
    <mergeCell ref="E199:G199"/>
    <mergeCell ref="B218:C218"/>
    <mergeCell ref="J297:K297"/>
    <mergeCell ref="B251:E251"/>
    <mergeCell ref="F251:P251"/>
    <mergeCell ref="B183:F183"/>
    <mergeCell ref="G183:I183"/>
    <mergeCell ref="B184:F184"/>
    <mergeCell ref="G184:I184"/>
    <mergeCell ref="B185:F185"/>
    <mergeCell ref="P648:Q648"/>
    <mergeCell ref="B649:C649"/>
    <mergeCell ref="D649:E649"/>
    <mergeCell ref="F649:O649"/>
    <mergeCell ref="P649:Q649"/>
    <mergeCell ref="D662:E662"/>
    <mergeCell ref="F662:O662"/>
    <mergeCell ref="P662:Q662"/>
    <mergeCell ref="B656:C656"/>
    <mergeCell ref="D656:E656"/>
    <mergeCell ref="F656:O656"/>
    <mergeCell ref="D660:E660"/>
    <mergeCell ref="F660:O660"/>
    <mergeCell ref="B659:C659"/>
    <mergeCell ref="D659:E659"/>
    <mergeCell ref="F659:O659"/>
    <mergeCell ref="E325:F325"/>
    <mergeCell ref="B670:C670"/>
    <mergeCell ref="D670:E670"/>
    <mergeCell ref="F670:O670"/>
    <mergeCell ref="P670:Q670"/>
    <mergeCell ref="B671:C671"/>
    <mergeCell ref="D671:E671"/>
    <mergeCell ref="B672:C672"/>
    <mergeCell ref="D672:E672"/>
    <mergeCell ref="F672:O672"/>
    <mergeCell ref="P672:Q672"/>
    <mergeCell ref="B673:C673"/>
    <mergeCell ref="F650:O650"/>
    <mergeCell ref="P650:Q650"/>
    <mergeCell ref="F658:O658"/>
    <mergeCell ref="P658:Q658"/>
    <mergeCell ref="B650:C650"/>
    <mergeCell ref="D650:E650"/>
    <mergeCell ref="B589:C589"/>
    <mergeCell ref="D589:E589"/>
    <mergeCell ref="F589:O589"/>
    <mergeCell ref="B609:C609"/>
    <mergeCell ref="D609:E609"/>
    <mergeCell ref="F609:O609"/>
    <mergeCell ref="P609:Q609"/>
    <mergeCell ref="B610:C610"/>
    <mergeCell ref="D610:E610"/>
    <mergeCell ref="F610:O610"/>
    <mergeCell ref="P610:Q610"/>
    <mergeCell ref="B638:C638"/>
    <mergeCell ref="P671:Q671"/>
    <mergeCell ref="F663:O663"/>
    <mergeCell ref="P663:Q663"/>
    <mergeCell ref="B664:C664"/>
    <mergeCell ref="D664:E664"/>
    <mergeCell ref="F664:O664"/>
    <mergeCell ref="P664:Q664"/>
    <mergeCell ref="B648:C648"/>
    <mergeCell ref="D648:E648"/>
    <mergeCell ref="F648:O648"/>
    <mergeCell ref="B660:C660"/>
    <mergeCell ref="P589:Q589"/>
    <mergeCell ref="B599:C599"/>
    <mergeCell ref="F599:O599"/>
    <mergeCell ref="P599:Q599"/>
    <mergeCell ref="B600:C600"/>
    <mergeCell ref="B666:C666"/>
    <mergeCell ref="D666:E666"/>
    <mergeCell ref="F666:O666"/>
    <mergeCell ref="P666:Q666"/>
    <mergeCell ref="B591:C591"/>
    <mergeCell ref="D591:E591"/>
    <mergeCell ref="F591:O591"/>
    <mergeCell ref="B704:C704"/>
    <mergeCell ref="D704:E704"/>
    <mergeCell ref="F704:O704"/>
    <mergeCell ref="P704:Q704"/>
    <mergeCell ref="B632:C632"/>
    <mergeCell ref="D632:E632"/>
    <mergeCell ref="F632:O632"/>
    <mergeCell ref="P632:Q632"/>
    <mergeCell ref="F624:O624"/>
    <mergeCell ref="P624:Q624"/>
    <mergeCell ref="F628:O628"/>
    <mergeCell ref="P628:Q628"/>
    <mergeCell ref="F627:O627"/>
    <mergeCell ref="B645:C645"/>
    <mergeCell ref="D645:E645"/>
    <mergeCell ref="F645:O645"/>
    <mergeCell ref="F671:O671"/>
    <mergeCell ref="F669:O669"/>
    <mergeCell ref="P665:Q665"/>
    <mergeCell ref="B663:C663"/>
    <mergeCell ref="D663:E663"/>
    <mergeCell ref="P622:Q622"/>
    <mergeCell ref="B624:C624"/>
    <mergeCell ref="D624:E624"/>
    <mergeCell ref="D622:E622"/>
    <mergeCell ref="P591:Q591"/>
    <mergeCell ref="B592:C592"/>
    <mergeCell ref="D592:E592"/>
    <mergeCell ref="F592:O592"/>
    <mergeCell ref="B590:C590"/>
    <mergeCell ref="D590:E590"/>
    <mergeCell ref="F590:O590"/>
    <mergeCell ref="P590:Q590"/>
    <mergeCell ref="P633:Q633"/>
    <mergeCell ref="F602:O602"/>
    <mergeCell ref="B619:C619"/>
    <mergeCell ref="D619:E619"/>
    <mergeCell ref="P619:Q619"/>
    <mergeCell ref="B620:C620"/>
    <mergeCell ref="D620:E620"/>
    <mergeCell ref="F620:O620"/>
    <mergeCell ref="P620:Q620"/>
    <mergeCell ref="B621:C621"/>
    <mergeCell ref="B647:C647"/>
    <mergeCell ref="D647:E647"/>
    <mergeCell ref="F647:O647"/>
    <mergeCell ref="P647:Q647"/>
    <mergeCell ref="P602:Q602"/>
    <mergeCell ref="B603:C603"/>
    <mergeCell ref="F641:O641"/>
    <mergeCell ref="P645:Q645"/>
    <mergeCell ref="B641:C641"/>
    <mergeCell ref="D641:E641"/>
    <mergeCell ref="F642:O642"/>
    <mergeCell ref="P642:Q642"/>
    <mergeCell ref="B643:C643"/>
    <mergeCell ref="D643:E643"/>
    <mergeCell ref="B602:C602"/>
    <mergeCell ref="D602:E602"/>
    <mergeCell ref="F619:O619"/>
    <mergeCell ref="F622:O622"/>
    <mergeCell ref="B186:F186"/>
    <mergeCell ref="G186:I186"/>
    <mergeCell ref="K202:L202"/>
    <mergeCell ref="M202:O202"/>
    <mergeCell ref="P202:Q202"/>
    <mergeCell ref="G290:H290"/>
    <mergeCell ref="J290:K290"/>
    <mergeCell ref="L290:M290"/>
    <mergeCell ref="N290:O290"/>
    <mergeCell ref="B293:C293"/>
    <mergeCell ref="E293:F293"/>
    <mergeCell ref="G293:H293"/>
    <mergeCell ref="J293:K293"/>
    <mergeCell ref="L293:M293"/>
    <mergeCell ref="J294:K294"/>
    <mergeCell ref="L294:M294"/>
    <mergeCell ref="N294:O294"/>
    <mergeCell ref="B200:D200"/>
    <mergeCell ref="E200:G200"/>
    <mergeCell ref="H200:J200"/>
    <mergeCell ref="K200:L200"/>
    <mergeCell ref="M200:O200"/>
    <mergeCell ref="P200:Q200"/>
    <mergeCell ref="Q264:S264"/>
    <mergeCell ref="Q267:S267"/>
    <mergeCell ref="H202:J202"/>
    <mergeCell ref="B219:C219"/>
    <mergeCell ref="D219:P219"/>
    <mergeCell ref="E292:F292"/>
    <mergeCell ref="G292:H292"/>
    <mergeCell ref="J292:K292"/>
    <mergeCell ref="L292:M292"/>
    <mergeCell ref="G304:H304"/>
    <mergeCell ref="B301:C301"/>
    <mergeCell ref="G298:H298"/>
    <mergeCell ref="J298:K298"/>
    <mergeCell ref="L298:M298"/>
    <mergeCell ref="N308:O308"/>
    <mergeCell ref="N309:O309"/>
    <mergeCell ref="E304:F304"/>
    <mergeCell ref="L297:M297"/>
    <mergeCell ref="F477:O477"/>
    <mergeCell ref="N320:O320"/>
    <mergeCell ref="B322:C322"/>
    <mergeCell ref="E322:F322"/>
    <mergeCell ref="B323:C323"/>
    <mergeCell ref="E323:F323"/>
    <mergeCell ref="E321:F321"/>
    <mergeCell ref="B321:C321"/>
    <mergeCell ref="N314:O314"/>
    <mergeCell ref="B315:C315"/>
    <mergeCell ref="G322:H322"/>
    <mergeCell ref="J322:K322"/>
    <mergeCell ref="L322:M322"/>
    <mergeCell ref="N322:O322"/>
    <mergeCell ref="B320:C320"/>
    <mergeCell ref="E320:F320"/>
    <mergeCell ref="C369:D369"/>
    <mergeCell ref="L320:M320"/>
    <mergeCell ref="L304:M304"/>
    <mergeCell ref="N297:O297"/>
    <mergeCell ref="B318:C318"/>
    <mergeCell ref="E318:F318"/>
    <mergeCell ref="E311:F311"/>
    <mergeCell ref="B299:C299"/>
    <mergeCell ref="B474:D474"/>
    <mergeCell ref="F474:O474"/>
    <mergeCell ref="P474:Q474"/>
    <mergeCell ref="B477:D477"/>
    <mergeCell ref="B309:C309"/>
    <mergeCell ref="E309:F309"/>
    <mergeCell ref="G321:H321"/>
    <mergeCell ref="J321:K321"/>
    <mergeCell ref="L321:M321"/>
    <mergeCell ref="N321:O321"/>
    <mergeCell ref="G323:H323"/>
    <mergeCell ref="J323:K323"/>
    <mergeCell ref="L323:M323"/>
    <mergeCell ref="L329:M329"/>
    <mergeCell ref="N329:O329"/>
    <mergeCell ref="N323:O323"/>
    <mergeCell ref="N326:O326"/>
    <mergeCell ref="L319:M319"/>
    <mergeCell ref="N319:O319"/>
    <mergeCell ref="G320:H320"/>
    <mergeCell ref="J320:K320"/>
    <mergeCell ref="J315:K315"/>
    <mergeCell ref="J310:K310"/>
    <mergeCell ref="L310:M310"/>
    <mergeCell ref="N310:O310"/>
    <mergeCell ref="N316:O316"/>
    <mergeCell ref="J313:K313"/>
    <mergeCell ref="L313:M313"/>
    <mergeCell ref="N313:O313"/>
    <mergeCell ref="G325:H325"/>
    <mergeCell ref="L308:M308"/>
    <mergeCell ref="N304:O304"/>
    <mergeCell ref="B305:C305"/>
    <mergeCell ref="E305:F305"/>
    <mergeCell ref="G305:H305"/>
    <mergeCell ref="J305:K305"/>
    <mergeCell ref="L305:M305"/>
    <mergeCell ref="N305:O305"/>
    <mergeCell ref="B302:C302"/>
    <mergeCell ref="E302:F302"/>
    <mergeCell ref="G302:H302"/>
    <mergeCell ref="G308:H308"/>
    <mergeCell ref="L307:M307"/>
    <mergeCell ref="N307:O307"/>
    <mergeCell ref="E298:F298"/>
    <mergeCell ref="E301:F301"/>
    <mergeCell ref="G300:H300"/>
    <mergeCell ref="J300:K300"/>
    <mergeCell ref="N300:O300"/>
    <mergeCell ref="B308:C308"/>
    <mergeCell ref="E308:F308"/>
    <mergeCell ref="E299:F299"/>
    <mergeCell ref="J302:K302"/>
    <mergeCell ref="L302:M302"/>
    <mergeCell ref="N302:O302"/>
    <mergeCell ref="B303:C303"/>
    <mergeCell ref="E303:F303"/>
    <mergeCell ref="B300:C300"/>
    <mergeCell ref="E300:F300"/>
    <mergeCell ref="L300:M300"/>
    <mergeCell ref="N298:O298"/>
    <mergeCell ref="G301:H301"/>
    <mergeCell ref="J301:K301"/>
    <mergeCell ref="C368:D368"/>
    <mergeCell ref="H368:N368"/>
    <mergeCell ref="O368:Q368"/>
    <mergeCell ref="C348:D348"/>
    <mergeCell ref="C351:D351"/>
    <mergeCell ref="H351:N351"/>
    <mergeCell ref="O351:Q351"/>
    <mergeCell ref="O357:Q357"/>
    <mergeCell ref="G316:H316"/>
    <mergeCell ref="J317:K317"/>
    <mergeCell ref="L317:M317"/>
    <mergeCell ref="N317:O317"/>
    <mergeCell ref="B326:C326"/>
    <mergeCell ref="E326:F326"/>
    <mergeCell ref="G326:H326"/>
    <mergeCell ref="J326:K326"/>
    <mergeCell ref="N318:O318"/>
    <mergeCell ref="H348:N348"/>
    <mergeCell ref="J328:K328"/>
    <mergeCell ref="B327:C327"/>
    <mergeCell ref="E319:F319"/>
    <mergeCell ref="G319:H319"/>
    <mergeCell ref="E317:F317"/>
    <mergeCell ref="G317:H317"/>
    <mergeCell ref="L330:M330"/>
    <mergeCell ref="J329:K329"/>
    <mergeCell ref="B330:C330"/>
    <mergeCell ref="E327:F327"/>
    <mergeCell ref="J327:K327"/>
    <mergeCell ref="B317:C317"/>
    <mergeCell ref="N330:O330"/>
    <mergeCell ref="N328:O328"/>
    <mergeCell ref="L326:M326"/>
    <mergeCell ref="E328:F328"/>
    <mergeCell ref="G328:H328"/>
    <mergeCell ref="P329:Q329"/>
    <mergeCell ref="C337:D337"/>
    <mergeCell ref="C343:D343"/>
    <mergeCell ref="C334:D334"/>
    <mergeCell ref="C335:D335"/>
    <mergeCell ref="C336:D336"/>
    <mergeCell ref="O348:Q348"/>
    <mergeCell ref="C357:D357"/>
    <mergeCell ref="H357:N357"/>
    <mergeCell ref="C349:D349"/>
    <mergeCell ref="H349:N349"/>
    <mergeCell ref="O349:Q349"/>
    <mergeCell ref="C350:D350"/>
    <mergeCell ref="H350:N350"/>
    <mergeCell ref="O350:Q350"/>
    <mergeCell ref="R329:S329"/>
    <mergeCell ref="P330:Q330"/>
    <mergeCell ref="R330:S330"/>
    <mergeCell ref="O356:Q356"/>
    <mergeCell ref="N311:O311"/>
    <mergeCell ref="B306:C306"/>
    <mergeCell ref="E306:F306"/>
    <mergeCell ref="P312:Q312"/>
    <mergeCell ref="P313:Q313"/>
    <mergeCell ref="B314:C314"/>
    <mergeCell ref="E314:F314"/>
    <mergeCell ref="B312:C312"/>
    <mergeCell ref="E312:F312"/>
    <mergeCell ref="B313:C313"/>
    <mergeCell ref="E313:F313"/>
    <mergeCell ref="G313:H313"/>
    <mergeCell ref="B319:C319"/>
    <mergeCell ref="E315:F315"/>
    <mergeCell ref="G315:H315"/>
    <mergeCell ref="P318:Q318"/>
    <mergeCell ref="J308:K308"/>
    <mergeCell ref="P319:Q319"/>
    <mergeCell ref="G309:H309"/>
    <mergeCell ref="J309:K309"/>
    <mergeCell ref="L309:M309"/>
    <mergeCell ref="G311:H311"/>
    <mergeCell ref="L316:M316"/>
    <mergeCell ref="L315:M315"/>
    <mergeCell ref="J316:K316"/>
    <mergeCell ref="B310:C310"/>
    <mergeCell ref="E310:F310"/>
    <mergeCell ref="G310:H310"/>
    <mergeCell ref="B316:C316"/>
    <mergeCell ref="B311:C311"/>
    <mergeCell ref="O369:Q369"/>
    <mergeCell ref="R318:S318"/>
    <mergeCell ref="L303:M303"/>
    <mergeCell ref="N303:O303"/>
    <mergeCell ref="G312:H312"/>
    <mergeCell ref="J312:K312"/>
    <mergeCell ref="L312:M312"/>
    <mergeCell ref="N312:O312"/>
    <mergeCell ref="G314:H314"/>
    <mergeCell ref="J314:K314"/>
    <mergeCell ref="L314:M314"/>
    <mergeCell ref="E316:F316"/>
    <mergeCell ref="J306:K306"/>
    <mergeCell ref="L306:M306"/>
    <mergeCell ref="N306:O306"/>
    <mergeCell ref="B307:C307"/>
    <mergeCell ref="E307:F307"/>
    <mergeCell ref="G307:H307"/>
    <mergeCell ref="J307:K307"/>
    <mergeCell ref="G306:H306"/>
    <mergeCell ref="J304:K304"/>
    <mergeCell ref="G303:H303"/>
    <mergeCell ref="J303:K303"/>
    <mergeCell ref="E330:F330"/>
    <mergeCell ref="J319:K319"/>
    <mergeCell ref="G318:H318"/>
    <mergeCell ref="J318:K318"/>
    <mergeCell ref="L318:M318"/>
    <mergeCell ref="P309:Q309"/>
    <mergeCell ref="N315:O315"/>
    <mergeCell ref="J311:K311"/>
    <mergeCell ref="L311:M311"/>
    <mergeCell ref="B1:Z1"/>
    <mergeCell ref="B374:D374"/>
    <mergeCell ref="B376:D376"/>
    <mergeCell ref="B331:C331"/>
    <mergeCell ref="E331:F331"/>
    <mergeCell ref="G331:H331"/>
    <mergeCell ref="J331:K331"/>
    <mergeCell ref="L331:M331"/>
    <mergeCell ref="N331:O331"/>
    <mergeCell ref="B329:C329"/>
    <mergeCell ref="E329:F329"/>
    <mergeCell ref="G329:H329"/>
    <mergeCell ref="B328:C328"/>
    <mergeCell ref="B31:C31"/>
    <mergeCell ref="L328:M328"/>
    <mergeCell ref="B294:C294"/>
    <mergeCell ref="E294:F294"/>
    <mergeCell ref="G294:H294"/>
    <mergeCell ref="G330:H330"/>
    <mergeCell ref="J330:K330"/>
    <mergeCell ref="L327:M327"/>
    <mergeCell ref="B297:C297"/>
    <mergeCell ref="E297:F297"/>
    <mergeCell ref="G297:H297"/>
    <mergeCell ref="B291:C291"/>
    <mergeCell ref="E291:F291"/>
    <mergeCell ref="G291:H291"/>
    <mergeCell ref="J291:K291"/>
    <mergeCell ref="L291:M291"/>
    <mergeCell ref="N291:O291"/>
    <mergeCell ref="B292:C292"/>
    <mergeCell ref="H369:N369"/>
    <mergeCell ref="L301:M301"/>
    <mergeCell ref="G299:H299"/>
    <mergeCell ref="J299:K299"/>
    <mergeCell ref="L299:M299"/>
    <mergeCell ref="N299:O299"/>
    <mergeCell ref="N301:O301"/>
    <mergeCell ref="B298:C298"/>
    <mergeCell ref="B287:C287"/>
    <mergeCell ref="E287:F287"/>
    <mergeCell ref="G287:H287"/>
    <mergeCell ref="J287:K287"/>
    <mergeCell ref="L287:M287"/>
    <mergeCell ref="N287:O287"/>
    <mergeCell ref="B288:C288"/>
    <mergeCell ref="E288:F288"/>
    <mergeCell ref="G288:H288"/>
    <mergeCell ref="J288:K288"/>
    <mergeCell ref="L288:M288"/>
    <mergeCell ref="N288:O288"/>
    <mergeCell ref="B296:C296"/>
    <mergeCell ref="N293:O293"/>
    <mergeCell ref="B289:C289"/>
    <mergeCell ref="E289:F289"/>
    <mergeCell ref="G289:H289"/>
    <mergeCell ref="J289:K289"/>
    <mergeCell ref="L289:M289"/>
    <mergeCell ref="N289:O289"/>
    <mergeCell ref="B290:C290"/>
    <mergeCell ref="E290:F290"/>
    <mergeCell ref="E296:F296"/>
    <mergeCell ref="G296:H296"/>
    <mergeCell ref="J296:K296"/>
    <mergeCell ref="L296:M296"/>
    <mergeCell ref="N296:O296"/>
    <mergeCell ref="B295:C295"/>
    <mergeCell ref="E295:F295"/>
    <mergeCell ref="B283:C283"/>
    <mergeCell ref="E283:F283"/>
    <mergeCell ref="G283:H283"/>
    <mergeCell ref="J283:K283"/>
    <mergeCell ref="L283:M283"/>
    <mergeCell ref="N283:O283"/>
    <mergeCell ref="B285:C285"/>
    <mergeCell ref="E285:F285"/>
    <mergeCell ref="G285:H285"/>
    <mergeCell ref="J285:K285"/>
    <mergeCell ref="L285:M285"/>
    <mergeCell ref="N285:O285"/>
    <mergeCell ref="B286:C286"/>
    <mergeCell ref="E286:F286"/>
    <mergeCell ref="G286:H286"/>
    <mergeCell ref="J286:K286"/>
    <mergeCell ref="L286:M286"/>
    <mergeCell ref="N286:O286"/>
    <mergeCell ref="B284:C284"/>
    <mergeCell ref="E284:F284"/>
    <mergeCell ref="N292:O292"/>
    <mergeCell ref="Q252:S252"/>
    <mergeCell ref="B280:C280"/>
    <mergeCell ref="E280:F280"/>
    <mergeCell ref="G280:H280"/>
    <mergeCell ref="J280:K280"/>
    <mergeCell ref="L280:M280"/>
    <mergeCell ref="B256:E256"/>
    <mergeCell ref="F256:P256"/>
    <mergeCell ref="B258:E258"/>
    <mergeCell ref="F258:P258"/>
    <mergeCell ref="Q258:S258"/>
    <mergeCell ref="N276:O276"/>
    <mergeCell ref="P276:Q276"/>
    <mergeCell ref="B265:E265"/>
    <mergeCell ref="F265:P265"/>
    <mergeCell ref="Q265:S265"/>
    <mergeCell ref="Q266:S266"/>
    <mergeCell ref="Q253:S253"/>
    <mergeCell ref="B257:E257"/>
    <mergeCell ref="F257:P257"/>
    <mergeCell ref="R277:S277"/>
    <mergeCell ref="P278:Q278"/>
    <mergeCell ref="R278:S278"/>
    <mergeCell ref="P279:Q279"/>
    <mergeCell ref="R279:S279"/>
    <mergeCell ref="P280:Q280"/>
    <mergeCell ref="R280:S280"/>
    <mergeCell ref="M199:O199"/>
    <mergeCell ref="B4:E4"/>
    <mergeCell ref="B34:C34"/>
    <mergeCell ref="B18:E18"/>
    <mergeCell ref="B19:E19"/>
    <mergeCell ref="B20:E20"/>
    <mergeCell ref="G74:H74"/>
    <mergeCell ref="B10:E10"/>
    <mergeCell ref="B11:E11"/>
    <mergeCell ref="B12:E12"/>
    <mergeCell ref="B40:C40"/>
    <mergeCell ref="B41:C41"/>
    <mergeCell ref="B28:C28"/>
    <mergeCell ref="B29:C29"/>
    <mergeCell ref="B30:C30"/>
    <mergeCell ref="B32:C32"/>
    <mergeCell ref="B33:C33"/>
    <mergeCell ref="C6:F6"/>
    <mergeCell ref="B13:E13"/>
    <mergeCell ref="B38:C38"/>
    <mergeCell ref="B78:C78"/>
    <mergeCell ref="B106:F106"/>
    <mergeCell ref="G106:I106"/>
    <mergeCell ref="G107:I107"/>
    <mergeCell ref="J74:K74"/>
    <mergeCell ref="J75:K75"/>
    <mergeCell ref="J76:K76"/>
    <mergeCell ref="B83:F83"/>
    <mergeCell ref="G83:I83"/>
    <mergeCell ref="B84:F84"/>
    <mergeCell ref="B51:Q51"/>
    <mergeCell ref="D28:F28"/>
    <mergeCell ref="B196:C196"/>
    <mergeCell ref="M74:N74"/>
    <mergeCell ref="M75:N75"/>
    <mergeCell ref="M76:N76"/>
    <mergeCell ref="D74:E74"/>
    <mergeCell ref="B59:Q59"/>
    <mergeCell ref="B60:Q60"/>
    <mergeCell ref="G84:I84"/>
    <mergeCell ref="P83:Q83"/>
    <mergeCell ref="P84:Q84"/>
    <mergeCell ref="B90:F90"/>
    <mergeCell ref="G90:I90"/>
    <mergeCell ref="P90:Q90"/>
    <mergeCell ref="B91:F91"/>
    <mergeCell ref="G91:I91"/>
    <mergeCell ref="P91:Q91"/>
    <mergeCell ref="B85:F85"/>
    <mergeCell ref="G85:I85"/>
    <mergeCell ref="P85:Q85"/>
    <mergeCell ref="B86:F86"/>
    <mergeCell ref="G86:I86"/>
    <mergeCell ref="P86:Q86"/>
    <mergeCell ref="B87:F87"/>
    <mergeCell ref="G87:I87"/>
    <mergeCell ref="P87:Q87"/>
    <mergeCell ref="B92:F92"/>
    <mergeCell ref="G92:I92"/>
    <mergeCell ref="P92:Q92"/>
    <mergeCell ref="P93:Q93"/>
    <mergeCell ref="B110:F110"/>
    <mergeCell ref="G110:I110"/>
    <mergeCell ref="G178:I178"/>
    <mergeCell ref="B176:F176"/>
    <mergeCell ref="B21:E21"/>
    <mergeCell ref="B22:E22"/>
    <mergeCell ref="B53:Q53"/>
    <mergeCell ref="B55:Q55"/>
    <mergeCell ref="B57:Q57"/>
    <mergeCell ref="B35:C35"/>
    <mergeCell ref="B36:C36"/>
    <mergeCell ref="B105:F105"/>
    <mergeCell ref="G105:I105"/>
    <mergeCell ref="D75:E75"/>
    <mergeCell ref="D76:E76"/>
    <mergeCell ref="B93:F93"/>
    <mergeCell ref="G93:I93"/>
    <mergeCell ref="B39:C39"/>
    <mergeCell ref="B45:Q45"/>
    <mergeCell ref="B47:Q47"/>
    <mergeCell ref="B49:Q49"/>
    <mergeCell ref="B177:F177"/>
    <mergeCell ref="G177:I177"/>
    <mergeCell ref="G176:I176"/>
    <mergeCell ref="B178:F178"/>
    <mergeCell ref="B169:F169"/>
    <mergeCell ref="G169:I169"/>
    <mergeCell ref="B102:F102"/>
    <mergeCell ref="G102:I102"/>
    <mergeCell ref="L102:M102"/>
    <mergeCell ref="B103:F103"/>
    <mergeCell ref="G103:I103"/>
    <mergeCell ref="H210:I210"/>
    <mergeCell ref="B182:F182"/>
    <mergeCell ref="D32:F32"/>
    <mergeCell ref="D33:F33"/>
    <mergeCell ref="D34:F34"/>
    <mergeCell ref="D35:F35"/>
    <mergeCell ref="D38:F38"/>
    <mergeCell ref="D39:F39"/>
    <mergeCell ref="D41:F41"/>
    <mergeCell ref="L98:M98"/>
    <mergeCell ref="B107:F107"/>
    <mergeCell ref="B23:E23"/>
    <mergeCell ref="L105:M105"/>
    <mergeCell ref="L97:M97"/>
    <mergeCell ref="L96:M96"/>
    <mergeCell ref="G75:H75"/>
    <mergeCell ref="G76:H76"/>
    <mergeCell ref="G98:I98"/>
    <mergeCell ref="D36:F36"/>
    <mergeCell ref="G170:I170"/>
    <mergeCell ref="D29:F29"/>
    <mergeCell ref="D30:F30"/>
    <mergeCell ref="B98:F98"/>
    <mergeCell ref="B37:C37"/>
    <mergeCell ref="D37:F37"/>
    <mergeCell ref="B24:E24"/>
    <mergeCell ref="B201:D201"/>
    <mergeCell ref="E201:G201"/>
    <mergeCell ref="H201:J201"/>
    <mergeCell ref="K201:L201"/>
    <mergeCell ref="M201:O201"/>
    <mergeCell ref="P201:Q201"/>
    <mergeCell ref="B202:D202"/>
    <mergeCell ref="E202:G202"/>
    <mergeCell ref="B14:E14"/>
    <mergeCell ref="B15:E15"/>
    <mergeCell ref="B16:E16"/>
    <mergeCell ref="B17:E17"/>
    <mergeCell ref="L107:M107"/>
    <mergeCell ref="B97:F97"/>
    <mergeCell ref="G97:I97"/>
    <mergeCell ref="G96:I96"/>
    <mergeCell ref="B96:F96"/>
    <mergeCell ref="L106:M106"/>
    <mergeCell ref="D40:F40"/>
    <mergeCell ref="D31:F31"/>
    <mergeCell ref="G182:I182"/>
    <mergeCell ref="B171:F171"/>
    <mergeCell ref="G171:I171"/>
    <mergeCell ref="B175:F175"/>
    <mergeCell ref="B194:C194"/>
    <mergeCell ref="B195:C195"/>
    <mergeCell ref="B187:F187"/>
    <mergeCell ref="G187:I187"/>
    <mergeCell ref="F268:P268"/>
    <mergeCell ref="F273:P273"/>
    <mergeCell ref="Q271:S271"/>
    <mergeCell ref="B272:E272"/>
    <mergeCell ref="H218:I218"/>
    <mergeCell ref="K218:L218"/>
    <mergeCell ref="E214:F214"/>
    <mergeCell ref="H214:I214"/>
    <mergeCell ref="G221:H221"/>
    <mergeCell ref="P199:Q199"/>
    <mergeCell ref="F259:P259"/>
    <mergeCell ref="Q259:S259"/>
    <mergeCell ref="N214:O214"/>
    <mergeCell ref="B216:C216"/>
    <mergeCell ref="N216:O216"/>
    <mergeCell ref="E216:F216"/>
    <mergeCell ref="B212:C212"/>
    <mergeCell ref="B213:C213"/>
    <mergeCell ref="N212:O212"/>
    <mergeCell ref="N213:O213"/>
    <mergeCell ref="B221:C221"/>
    <mergeCell ref="H216:I216"/>
    <mergeCell ref="B206:Q206"/>
    <mergeCell ref="B210:C210"/>
    <mergeCell ref="E210:F210"/>
    <mergeCell ref="B244:E244"/>
    <mergeCell ref="F244:P244"/>
    <mergeCell ref="Q244:S244"/>
    <mergeCell ref="R287:S287"/>
    <mergeCell ref="P288:Q288"/>
    <mergeCell ref="R276:S276"/>
    <mergeCell ref="P277:Q277"/>
    <mergeCell ref="P287:Q287"/>
    <mergeCell ref="B222:C222"/>
    <mergeCell ref="G222:H222"/>
    <mergeCell ref="Q243:S243"/>
    <mergeCell ref="Q256:S256"/>
    <mergeCell ref="Q227:S227"/>
    <mergeCell ref="E218:F218"/>
    <mergeCell ref="J278:K278"/>
    <mergeCell ref="L278:M278"/>
    <mergeCell ref="N278:O278"/>
    <mergeCell ref="B282:C282"/>
    <mergeCell ref="E282:F282"/>
    <mergeCell ref="G282:H282"/>
    <mergeCell ref="E276:F276"/>
    <mergeCell ref="L276:M276"/>
    <mergeCell ref="J276:K276"/>
    <mergeCell ref="B227:E227"/>
    <mergeCell ref="F227:P227"/>
    <mergeCell ref="B266:E266"/>
    <mergeCell ref="F266:P266"/>
    <mergeCell ref="B267:E267"/>
    <mergeCell ref="F267:P267"/>
    <mergeCell ref="F253:P253"/>
    <mergeCell ref="B253:E253"/>
    <mergeCell ref="N277:O277"/>
    <mergeCell ref="G277:H277"/>
    <mergeCell ref="B252:E252"/>
    <mergeCell ref="F252:P252"/>
    <mergeCell ref="R284:S284"/>
    <mergeCell ref="P285:Q285"/>
    <mergeCell ref="R285:S285"/>
    <mergeCell ref="P286:Q286"/>
    <mergeCell ref="R286:S286"/>
    <mergeCell ref="B276:C276"/>
    <mergeCell ref="G276:H276"/>
    <mergeCell ref="P291:Q291"/>
    <mergeCell ref="Q257:S257"/>
    <mergeCell ref="B259:E259"/>
    <mergeCell ref="K213:L213"/>
    <mergeCell ref="K214:L214"/>
    <mergeCell ref="B264:E264"/>
    <mergeCell ref="F264:P264"/>
    <mergeCell ref="P297:Q297"/>
    <mergeCell ref="R297:S297"/>
    <mergeCell ref="H217:I217"/>
    <mergeCell ref="K216:L216"/>
    <mergeCell ref="N217:O217"/>
    <mergeCell ref="B217:C217"/>
    <mergeCell ref="E217:F217"/>
    <mergeCell ref="R282:S282"/>
    <mergeCell ref="P283:Q283"/>
    <mergeCell ref="F272:P272"/>
    <mergeCell ref="Q272:S272"/>
    <mergeCell ref="B273:E273"/>
    <mergeCell ref="Q273:S273"/>
    <mergeCell ref="G295:H295"/>
    <mergeCell ref="J295:K295"/>
    <mergeCell ref="L295:M295"/>
    <mergeCell ref="N295:O295"/>
    <mergeCell ref="R283:S283"/>
    <mergeCell ref="B707:C707"/>
    <mergeCell ref="D707:E707"/>
    <mergeCell ref="F707:O707"/>
    <mergeCell ref="B494:C494"/>
    <mergeCell ref="D494:E494"/>
    <mergeCell ref="B698:C698"/>
    <mergeCell ref="D698:E698"/>
    <mergeCell ref="F698:O698"/>
    <mergeCell ref="P698:Q698"/>
    <mergeCell ref="B703:C703"/>
    <mergeCell ref="D703:E703"/>
    <mergeCell ref="F703:O703"/>
    <mergeCell ref="P703:Q703"/>
    <mergeCell ref="K212:L212"/>
    <mergeCell ref="E212:F212"/>
    <mergeCell ref="E213:F213"/>
    <mergeCell ref="D221:F221"/>
    <mergeCell ref="D222:F222"/>
    <mergeCell ref="N222:O222"/>
    <mergeCell ref="B243:E243"/>
    <mergeCell ref="F243:P243"/>
    <mergeCell ref="K217:L217"/>
    <mergeCell ref="Q268:S268"/>
    <mergeCell ref="G284:H284"/>
    <mergeCell ref="J284:K284"/>
    <mergeCell ref="L284:M284"/>
    <mergeCell ref="N284:O284"/>
    <mergeCell ref="B279:C279"/>
    <mergeCell ref="E279:F279"/>
    <mergeCell ref="G279:H279"/>
    <mergeCell ref="J279:K279"/>
    <mergeCell ref="P284:Q284"/>
    <mergeCell ref="P707:Q707"/>
    <mergeCell ref="B482:C482"/>
    <mergeCell ref="B483:C483"/>
    <mergeCell ref="B488:C488"/>
    <mergeCell ref="D488:E488"/>
    <mergeCell ref="F488:O488"/>
    <mergeCell ref="P488:Q488"/>
    <mergeCell ref="B490:C490"/>
    <mergeCell ref="D490:E490"/>
    <mergeCell ref="F490:O490"/>
    <mergeCell ref="P490:Q490"/>
    <mergeCell ref="B493:C493"/>
    <mergeCell ref="D493:E493"/>
    <mergeCell ref="F493:O493"/>
    <mergeCell ref="P493:Q493"/>
    <mergeCell ref="B706:C706"/>
    <mergeCell ref="D706:E706"/>
    <mergeCell ref="F706:O706"/>
    <mergeCell ref="P706:Q706"/>
    <mergeCell ref="B705:C705"/>
    <mergeCell ref="D705:E705"/>
    <mergeCell ref="F705:O705"/>
    <mergeCell ref="P705:Q705"/>
    <mergeCell ref="B575:C575"/>
    <mergeCell ref="D575:E575"/>
    <mergeCell ref="F575:O575"/>
    <mergeCell ref="P575:Q575"/>
    <mergeCell ref="B576:C576"/>
    <mergeCell ref="D576:E576"/>
    <mergeCell ref="F576:O576"/>
    <mergeCell ref="P576:Q576"/>
    <mergeCell ref="B577:C577"/>
    <mergeCell ref="B711:D711"/>
    <mergeCell ref="B712:D712"/>
    <mergeCell ref="B714:D714"/>
    <mergeCell ref="B713:D713"/>
    <mergeCell ref="H724:Z724"/>
    <mergeCell ref="H725:Z725"/>
    <mergeCell ref="H726:Z726"/>
    <mergeCell ref="H727:Z727"/>
    <mergeCell ref="H728:Z728"/>
    <mergeCell ref="F724:G724"/>
    <mergeCell ref="F725:G725"/>
    <mergeCell ref="F726:G726"/>
    <mergeCell ref="F727:G727"/>
    <mergeCell ref="F728:G728"/>
    <mergeCell ref="C724:E724"/>
    <mergeCell ref="C725:E725"/>
    <mergeCell ref="C726:E726"/>
    <mergeCell ref="C727:E727"/>
    <mergeCell ref="C728:E728"/>
    <mergeCell ref="E717:G717"/>
    <mergeCell ref="H717:I717"/>
    <mergeCell ref="E718:G718"/>
    <mergeCell ref="H718:I718"/>
    <mergeCell ref="E719:G719"/>
    <mergeCell ref="H719:I719"/>
    <mergeCell ref="E720:G720"/>
    <mergeCell ref="H720:I720"/>
    <mergeCell ref="E721:G721"/>
    <mergeCell ref="H721:I721"/>
    <mergeCell ref="P281:Q281"/>
    <mergeCell ref="R281:S281"/>
    <mergeCell ref="P282:Q282"/>
    <mergeCell ref="J282:K282"/>
    <mergeCell ref="L282:M282"/>
    <mergeCell ref="N282:O282"/>
    <mergeCell ref="N280:O280"/>
    <mergeCell ref="B268:E268"/>
    <mergeCell ref="G281:H281"/>
    <mergeCell ref="J281:K281"/>
    <mergeCell ref="L281:M281"/>
    <mergeCell ref="N281:O281"/>
    <mergeCell ref="B281:C281"/>
    <mergeCell ref="E281:F281"/>
    <mergeCell ref="E277:F277"/>
    <mergeCell ref="J277:K277"/>
    <mergeCell ref="L279:M279"/>
    <mergeCell ref="N279:O279"/>
    <mergeCell ref="B277:C277"/>
    <mergeCell ref="B278:C278"/>
    <mergeCell ref="E278:F278"/>
    <mergeCell ref="G278:H278"/>
    <mergeCell ref="B271:E271"/>
    <mergeCell ref="F271:P271"/>
    <mergeCell ref="L277:M277"/>
    <mergeCell ref="P310:Q310"/>
    <mergeCell ref="R312:S312"/>
    <mergeCell ref="R313:S313"/>
    <mergeCell ref="R314:S314"/>
    <mergeCell ref="R315:S315"/>
    <mergeCell ref="R316:S316"/>
    <mergeCell ref="R288:S288"/>
    <mergeCell ref="P289:Q289"/>
    <mergeCell ref="R289:S289"/>
    <mergeCell ref="P290:Q290"/>
    <mergeCell ref="R290:S290"/>
    <mergeCell ref="R291:S291"/>
    <mergeCell ref="P292:Q292"/>
    <mergeCell ref="R292:S292"/>
    <mergeCell ref="P293:Q293"/>
    <mergeCell ref="R293:S293"/>
    <mergeCell ref="P294:Q294"/>
    <mergeCell ref="R294:S294"/>
    <mergeCell ref="P295:Q295"/>
    <mergeCell ref="R295:S295"/>
    <mergeCell ref="P296:Q296"/>
    <mergeCell ref="R296:S296"/>
    <mergeCell ref="R302:S302"/>
    <mergeCell ref="P298:Q298"/>
    <mergeCell ref="R298:S298"/>
    <mergeCell ref="P299:Q299"/>
    <mergeCell ref="R299:S299"/>
    <mergeCell ref="P300:Q300"/>
    <mergeCell ref="R300:S300"/>
    <mergeCell ref="P301:Q301"/>
    <mergeCell ref="R301:S301"/>
    <mergeCell ref="P302:Q302"/>
    <mergeCell ref="C352:D352"/>
    <mergeCell ref="H352:N352"/>
    <mergeCell ref="O352:Q352"/>
    <mergeCell ref="C353:D353"/>
    <mergeCell ref="H353:N353"/>
    <mergeCell ref="O353:Q353"/>
    <mergeCell ref="C354:D354"/>
    <mergeCell ref="H354:N354"/>
    <mergeCell ref="O354:Q354"/>
    <mergeCell ref="C355:D355"/>
    <mergeCell ref="H355:N355"/>
    <mergeCell ref="O355:Q355"/>
    <mergeCell ref="R319:S319"/>
    <mergeCell ref="P320:Q320"/>
    <mergeCell ref="R320:S320"/>
    <mergeCell ref="P322:Q322"/>
    <mergeCell ref="R322:S322"/>
    <mergeCell ref="P321:Q321"/>
    <mergeCell ref="R321:S321"/>
    <mergeCell ref="P323:Q323"/>
    <mergeCell ref="R323:S323"/>
    <mergeCell ref="P325:Q325"/>
    <mergeCell ref="R325:S325"/>
    <mergeCell ref="P326:Q326"/>
    <mergeCell ref="R326:S326"/>
    <mergeCell ref="P327:Q327"/>
    <mergeCell ref="R327:S327"/>
    <mergeCell ref="P328:Q328"/>
    <mergeCell ref="R328:S328"/>
    <mergeCell ref="P324:Q324"/>
    <mergeCell ref="R324:S324"/>
    <mergeCell ref="N327:O327"/>
    <mergeCell ref="G168:I168"/>
    <mergeCell ref="B170:F170"/>
    <mergeCell ref="B192:C192"/>
    <mergeCell ref="B172:J172"/>
    <mergeCell ref="B179:J179"/>
    <mergeCell ref="B190:C190"/>
    <mergeCell ref="B191:C191"/>
    <mergeCell ref="B214:C214"/>
    <mergeCell ref="B199:D199"/>
    <mergeCell ref="B193:C193"/>
    <mergeCell ref="B380:C380"/>
    <mergeCell ref="B381:C381"/>
    <mergeCell ref="O367:Q367"/>
    <mergeCell ref="C360:D360"/>
    <mergeCell ref="H360:N360"/>
    <mergeCell ref="O360:Q360"/>
    <mergeCell ref="C361:D361"/>
    <mergeCell ref="H361:N361"/>
    <mergeCell ref="O361:Q361"/>
    <mergeCell ref="C362:D362"/>
    <mergeCell ref="H362:N362"/>
    <mergeCell ref="O362:Q362"/>
    <mergeCell ref="C363:D363"/>
    <mergeCell ref="H363:N363"/>
    <mergeCell ref="O363:Q363"/>
    <mergeCell ref="C364:D364"/>
    <mergeCell ref="H364:N364"/>
    <mergeCell ref="C358:D358"/>
    <mergeCell ref="H358:N358"/>
    <mergeCell ref="O358:Q358"/>
    <mergeCell ref="C359:D359"/>
    <mergeCell ref="B485:C485"/>
    <mergeCell ref="B375:D375"/>
    <mergeCell ref="P477:Q477"/>
    <mergeCell ref="B478:D478"/>
    <mergeCell ref="P478:Q478"/>
    <mergeCell ref="B325:C325"/>
    <mergeCell ref="B484:C484"/>
    <mergeCell ref="J325:K325"/>
    <mergeCell ref="L325:M325"/>
    <mergeCell ref="N325:O325"/>
    <mergeCell ref="B471:C471"/>
    <mergeCell ref="G327:H327"/>
    <mergeCell ref="C365:D365"/>
    <mergeCell ref="H365:N365"/>
    <mergeCell ref="O365:Q365"/>
    <mergeCell ref="C366:D366"/>
    <mergeCell ref="H366:N366"/>
    <mergeCell ref="O366:Q366"/>
    <mergeCell ref="C367:D367"/>
    <mergeCell ref="H367:N367"/>
    <mergeCell ref="B475:D475"/>
    <mergeCell ref="F475:O475"/>
    <mergeCell ref="O364:Q364"/>
    <mergeCell ref="P331:Q331"/>
    <mergeCell ref="R331:S331"/>
    <mergeCell ref="C356:D356"/>
    <mergeCell ref="H356:N356"/>
    <mergeCell ref="H359:N359"/>
    <mergeCell ref="O359:Q359"/>
    <mergeCell ref="B499:C499"/>
    <mergeCell ref="D499:E499"/>
    <mergeCell ref="F499:O499"/>
    <mergeCell ref="P499:Q499"/>
    <mergeCell ref="F519:O519"/>
    <mergeCell ref="P519:Q519"/>
    <mergeCell ref="B520:C520"/>
    <mergeCell ref="D520:E520"/>
    <mergeCell ref="F525:O525"/>
    <mergeCell ref="P525:Q525"/>
    <mergeCell ref="P475:Q475"/>
    <mergeCell ref="B476:D476"/>
    <mergeCell ref="F476:O476"/>
    <mergeCell ref="P476:Q476"/>
    <mergeCell ref="B489:C489"/>
    <mergeCell ref="D489:E489"/>
    <mergeCell ref="F489:O489"/>
    <mergeCell ref="P489:Q489"/>
    <mergeCell ref="F478:O478"/>
    <mergeCell ref="B500:C500"/>
    <mergeCell ref="D500:E500"/>
    <mergeCell ref="F500:O500"/>
    <mergeCell ref="P500:Q500"/>
    <mergeCell ref="B501:C501"/>
    <mergeCell ref="D501:E501"/>
    <mergeCell ref="F501:O501"/>
    <mergeCell ref="P501:Q501"/>
    <mergeCell ref="F520:O520"/>
    <mergeCell ref="P520:Q520"/>
    <mergeCell ref="B521:C521"/>
    <mergeCell ref="D521:E521"/>
    <mergeCell ref="F521:O521"/>
    <mergeCell ref="F494:O494"/>
    <mergeCell ref="P494:Q494"/>
    <mergeCell ref="B495:C495"/>
    <mergeCell ref="D495:E495"/>
    <mergeCell ref="F495:O495"/>
    <mergeCell ref="P495:Q495"/>
    <mergeCell ref="B496:C496"/>
    <mergeCell ref="D496:E496"/>
    <mergeCell ref="F496:O496"/>
    <mergeCell ref="P496:Q496"/>
    <mergeCell ref="B497:C497"/>
    <mergeCell ref="D497:E497"/>
    <mergeCell ref="F497:O497"/>
    <mergeCell ref="P497:Q497"/>
    <mergeCell ref="B498:C498"/>
    <mergeCell ref="D498:E498"/>
    <mergeCell ref="F498:O498"/>
    <mergeCell ref="P498:Q498"/>
    <mergeCell ref="D505:E505"/>
    <mergeCell ref="F505:O505"/>
    <mergeCell ref="P505:Q505"/>
    <mergeCell ref="B506:C506"/>
    <mergeCell ref="D506:E506"/>
    <mergeCell ref="F506:O506"/>
    <mergeCell ref="P506:Q506"/>
    <mergeCell ref="B507:C507"/>
    <mergeCell ref="D507:E507"/>
    <mergeCell ref="F507:O507"/>
    <mergeCell ref="P507:Q507"/>
    <mergeCell ref="B508:C508"/>
    <mergeCell ref="B526:C526"/>
    <mergeCell ref="D526:E526"/>
    <mergeCell ref="F526:O526"/>
    <mergeCell ref="P526:Q526"/>
    <mergeCell ref="F529:O529"/>
    <mergeCell ref="P529:Q529"/>
    <mergeCell ref="B522:C522"/>
    <mergeCell ref="D522:E522"/>
    <mergeCell ref="F522:O522"/>
    <mergeCell ref="P522:Q522"/>
    <mergeCell ref="B523:C523"/>
    <mergeCell ref="D523:E523"/>
    <mergeCell ref="B525:C525"/>
    <mergeCell ref="D525:E525"/>
    <mergeCell ref="D517:E517"/>
    <mergeCell ref="F517:O517"/>
    <mergeCell ref="P517:Q517"/>
    <mergeCell ref="B513:C513"/>
    <mergeCell ref="D513:E513"/>
    <mergeCell ref="F513:O513"/>
    <mergeCell ref="P513:Q513"/>
    <mergeCell ref="B514:C514"/>
    <mergeCell ref="D514:E514"/>
    <mergeCell ref="F514:O514"/>
    <mergeCell ref="P514:Q514"/>
    <mergeCell ref="B515:C515"/>
    <mergeCell ref="P521:Q521"/>
    <mergeCell ref="B502:C502"/>
    <mergeCell ref="D502:E502"/>
    <mergeCell ref="F502:O502"/>
    <mergeCell ref="P502:Q502"/>
    <mergeCell ref="B518:C518"/>
    <mergeCell ref="D518:E518"/>
    <mergeCell ref="B503:C503"/>
    <mergeCell ref="D503:E503"/>
    <mergeCell ref="F503:O503"/>
    <mergeCell ref="P503:Q503"/>
    <mergeCell ref="B504:C504"/>
    <mergeCell ref="D504:E504"/>
    <mergeCell ref="F504:O504"/>
    <mergeCell ref="P504:Q504"/>
    <mergeCell ref="F518:O518"/>
    <mergeCell ref="P518:Q518"/>
    <mergeCell ref="B519:C519"/>
    <mergeCell ref="D519:E519"/>
    <mergeCell ref="B505:C505"/>
    <mergeCell ref="D508:E508"/>
    <mergeCell ref="F508:O508"/>
    <mergeCell ref="P508:Q508"/>
    <mergeCell ref="B509:C509"/>
    <mergeCell ref="D509:E509"/>
    <mergeCell ref="F509:O509"/>
    <mergeCell ref="D552:E552"/>
    <mergeCell ref="F552:O552"/>
    <mergeCell ref="P552:Q552"/>
    <mergeCell ref="B550:C550"/>
    <mergeCell ref="D550:E550"/>
    <mergeCell ref="F550:O550"/>
    <mergeCell ref="P550:Q550"/>
    <mergeCell ref="F527:O527"/>
    <mergeCell ref="P527:Q527"/>
    <mergeCell ref="B528:C528"/>
    <mergeCell ref="D528:E528"/>
    <mergeCell ref="F528:O528"/>
    <mergeCell ref="P528:Q528"/>
    <mergeCell ref="B529:C529"/>
    <mergeCell ref="D529:E529"/>
    <mergeCell ref="B545:C545"/>
    <mergeCell ref="F523:O523"/>
    <mergeCell ref="P523:Q523"/>
    <mergeCell ref="F542:O542"/>
    <mergeCell ref="P542:Q542"/>
    <mergeCell ref="B527:C527"/>
    <mergeCell ref="D527:E527"/>
    <mergeCell ref="D538:E538"/>
    <mergeCell ref="D533:E533"/>
    <mergeCell ref="F533:O533"/>
    <mergeCell ref="P533:Q533"/>
    <mergeCell ref="B538:C538"/>
    <mergeCell ref="P534:Q534"/>
    <mergeCell ref="B535:C535"/>
    <mergeCell ref="D535:E535"/>
    <mergeCell ref="F535:O535"/>
    <mergeCell ref="P535:Q535"/>
    <mergeCell ref="P509:Q509"/>
    <mergeCell ref="B524:C524"/>
    <mergeCell ref="D524:E524"/>
    <mergeCell ref="F524:O524"/>
    <mergeCell ref="P524:Q524"/>
    <mergeCell ref="B551:C551"/>
    <mergeCell ref="D551:E551"/>
    <mergeCell ref="F551:O551"/>
    <mergeCell ref="P551:Q551"/>
    <mergeCell ref="B510:C510"/>
    <mergeCell ref="D510:E510"/>
    <mergeCell ref="F510:O510"/>
    <mergeCell ref="P510:Q510"/>
    <mergeCell ref="B511:C511"/>
    <mergeCell ref="D511:E511"/>
    <mergeCell ref="F511:O511"/>
    <mergeCell ref="P511:Q511"/>
    <mergeCell ref="B512:C512"/>
    <mergeCell ref="D512:E512"/>
    <mergeCell ref="F512:O512"/>
    <mergeCell ref="P512:Q512"/>
    <mergeCell ref="B517:C517"/>
    <mergeCell ref="D515:E515"/>
    <mergeCell ref="F515:O515"/>
    <mergeCell ref="P515:Q515"/>
    <mergeCell ref="B516:C516"/>
    <mergeCell ref="D516:E516"/>
    <mergeCell ref="F516:O516"/>
    <mergeCell ref="P516:Q516"/>
    <mergeCell ref="B534:C534"/>
    <mergeCell ref="D534:E534"/>
    <mergeCell ref="F534:O534"/>
    <mergeCell ref="B555:C555"/>
    <mergeCell ref="D555:E555"/>
    <mergeCell ref="F555:O555"/>
    <mergeCell ref="P555:Q555"/>
    <mergeCell ref="B556:C556"/>
    <mergeCell ref="D556:E556"/>
    <mergeCell ref="F556:O556"/>
    <mergeCell ref="P556:Q556"/>
    <mergeCell ref="B547:C547"/>
    <mergeCell ref="D547:E547"/>
    <mergeCell ref="F547:O547"/>
    <mergeCell ref="P547:Q547"/>
    <mergeCell ref="B546:C546"/>
    <mergeCell ref="D546:E546"/>
    <mergeCell ref="F546:O546"/>
    <mergeCell ref="P546:Q546"/>
    <mergeCell ref="B544:C544"/>
    <mergeCell ref="D544:E544"/>
    <mergeCell ref="F544:O544"/>
    <mergeCell ref="P544:Q544"/>
    <mergeCell ref="F545:O545"/>
    <mergeCell ref="P545:Q545"/>
    <mergeCell ref="B553:C553"/>
    <mergeCell ref="D553:E553"/>
    <mergeCell ref="F553:O553"/>
    <mergeCell ref="P553:Q553"/>
    <mergeCell ref="B549:C549"/>
    <mergeCell ref="D549:E549"/>
    <mergeCell ref="F549:O549"/>
    <mergeCell ref="P549:Q549"/>
    <mergeCell ref="D545:E545"/>
    <mergeCell ref="B548:C548"/>
    <mergeCell ref="B536:C536"/>
    <mergeCell ref="D536:E536"/>
    <mergeCell ref="F536:O536"/>
    <mergeCell ref="P536:Q536"/>
    <mergeCell ref="B530:C530"/>
    <mergeCell ref="D530:E530"/>
    <mergeCell ref="F530:O530"/>
    <mergeCell ref="P530:Q530"/>
    <mergeCell ref="B531:C531"/>
    <mergeCell ref="D531:E531"/>
    <mergeCell ref="F531:O531"/>
    <mergeCell ref="P531:Q531"/>
    <mergeCell ref="B532:C532"/>
    <mergeCell ref="D532:E532"/>
    <mergeCell ref="F532:O532"/>
    <mergeCell ref="P532:Q532"/>
    <mergeCell ref="B533:C533"/>
    <mergeCell ref="B537:C537"/>
    <mergeCell ref="D537:E537"/>
    <mergeCell ref="F537:O537"/>
    <mergeCell ref="P537:Q537"/>
    <mergeCell ref="B554:C554"/>
    <mergeCell ref="D554:E554"/>
    <mergeCell ref="F554:O554"/>
    <mergeCell ref="P554:Q554"/>
    <mergeCell ref="B543:C543"/>
    <mergeCell ref="D543:E543"/>
    <mergeCell ref="F543:O543"/>
    <mergeCell ref="P543:Q543"/>
    <mergeCell ref="B540:C540"/>
    <mergeCell ref="D540:E540"/>
    <mergeCell ref="F540:O540"/>
    <mergeCell ref="P540:Q540"/>
    <mergeCell ref="F538:O538"/>
    <mergeCell ref="P538:Q538"/>
    <mergeCell ref="D548:E548"/>
    <mergeCell ref="F548:O548"/>
    <mergeCell ref="P548:Q548"/>
    <mergeCell ref="B541:C541"/>
    <mergeCell ref="D541:E541"/>
    <mergeCell ref="F541:O541"/>
    <mergeCell ref="P541:Q541"/>
    <mergeCell ref="B542:C542"/>
    <mergeCell ref="D542:E542"/>
    <mergeCell ref="B539:C539"/>
    <mergeCell ref="D539:E539"/>
    <mergeCell ref="F539:O539"/>
    <mergeCell ref="P539:Q539"/>
    <mergeCell ref="B552:C552"/>
    <mergeCell ref="B583:C583"/>
    <mergeCell ref="D583:E583"/>
    <mergeCell ref="F583:O583"/>
    <mergeCell ref="B557:C557"/>
    <mergeCell ref="D557:E557"/>
    <mergeCell ref="F557:O557"/>
    <mergeCell ref="P557:Q557"/>
    <mergeCell ref="B558:C558"/>
    <mergeCell ref="D558:E558"/>
    <mergeCell ref="F558:O558"/>
    <mergeCell ref="P558:Q558"/>
    <mergeCell ref="B559:C559"/>
    <mergeCell ref="D559:E559"/>
    <mergeCell ref="F559:O559"/>
    <mergeCell ref="P559:Q559"/>
    <mergeCell ref="D577:E577"/>
    <mergeCell ref="P583:Q583"/>
    <mergeCell ref="B560:C560"/>
    <mergeCell ref="D560:E560"/>
    <mergeCell ref="F560:O560"/>
    <mergeCell ref="P560:Q560"/>
    <mergeCell ref="B561:C561"/>
    <mergeCell ref="D561:E561"/>
    <mergeCell ref="F561:O561"/>
    <mergeCell ref="P561:Q561"/>
    <mergeCell ref="B562:C562"/>
    <mergeCell ref="D562:E562"/>
    <mergeCell ref="F562:O562"/>
    <mergeCell ref="P562:Q562"/>
    <mergeCell ref="B573:C573"/>
    <mergeCell ref="F573:O573"/>
    <mergeCell ref="P573:Q573"/>
    <mergeCell ref="B588:C588"/>
    <mergeCell ref="D588:E588"/>
    <mergeCell ref="F588:O588"/>
    <mergeCell ref="P588:Q588"/>
    <mergeCell ref="B584:C584"/>
    <mergeCell ref="D584:E584"/>
    <mergeCell ref="F584:O584"/>
    <mergeCell ref="P584:Q584"/>
    <mergeCell ref="B585:C585"/>
    <mergeCell ref="D585:E585"/>
    <mergeCell ref="F585:O585"/>
    <mergeCell ref="P585:Q585"/>
    <mergeCell ref="B586:C586"/>
    <mergeCell ref="D586:E586"/>
    <mergeCell ref="F586:O586"/>
    <mergeCell ref="P586:Q586"/>
    <mergeCell ref="B587:C587"/>
    <mergeCell ref="D587:E587"/>
    <mergeCell ref="F587:O587"/>
    <mergeCell ref="P587:Q587"/>
    <mergeCell ref="B579:C579"/>
    <mergeCell ref="D579:E579"/>
    <mergeCell ref="F579:O579"/>
    <mergeCell ref="P579:Q579"/>
    <mergeCell ref="B563:C563"/>
    <mergeCell ref="D563:E563"/>
    <mergeCell ref="F563:O563"/>
    <mergeCell ref="B571:C571"/>
    <mergeCell ref="D571:E571"/>
    <mergeCell ref="F571:O571"/>
    <mergeCell ref="P571:Q571"/>
    <mergeCell ref="B572:C572"/>
    <mergeCell ref="D572:E572"/>
    <mergeCell ref="F572:O572"/>
    <mergeCell ref="P572:Q572"/>
    <mergeCell ref="B574:C574"/>
    <mergeCell ref="F578:O578"/>
    <mergeCell ref="P578:Q578"/>
    <mergeCell ref="D581:E581"/>
    <mergeCell ref="F581:O581"/>
    <mergeCell ref="P581:Q581"/>
    <mergeCell ref="B582:C582"/>
    <mergeCell ref="D582:E582"/>
    <mergeCell ref="F582:O582"/>
    <mergeCell ref="P582:Q582"/>
    <mergeCell ref="P563:Q563"/>
    <mergeCell ref="B564:C564"/>
    <mergeCell ref="D564:E564"/>
    <mergeCell ref="F564:O564"/>
    <mergeCell ref="P564:Q564"/>
    <mergeCell ref="B565:C565"/>
    <mergeCell ref="D565:E565"/>
    <mergeCell ref="F565:O565"/>
    <mergeCell ref="P565:Q565"/>
    <mergeCell ref="B566:C566"/>
    <mergeCell ref="D566:E566"/>
    <mergeCell ref="F566:O566"/>
    <mergeCell ref="P566:Q566"/>
    <mergeCell ref="B567:C567"/>
    <mergeCell ref="D567:E567"/>
    <mergeCell ref="F567:O567"/>
    <mergeCell ref="P567:Q567"/>
    <mergeCell ref="D574:E574"/>
    <mergeCell ref="F574:O574"/>
    <mergeCell ref="P574:Q574"/>
    <mergeCell ref="F577:O577"/>
    <mergeCell ref="P577:Q577"/>
    <mergeCell ref="B578:C578"/>
    <mergeCell ref="D578:E578"/>
    <mergeCell ref="D573:E573"/>
    <mergeCell ref="P621:Q621"/>
    <mergeCell ref="B568:C568"/>
    <mergeCell ref="D568:E568"/>
    <mergeCell ref="F568:O568"/>
    <mergeCell ref="P568:Q568"/>
    <mergeCell ref="B569:C569"/>
    <mergeCell ref="D569:E569"/>
    <mergeCell ref="F569:O569"/>
    <mergeCell ref="P569:Q569"/>
    <mergeCell ref="B570:C570"/>
    <mergeCell ref="D570:E570"/>
    <mergeCell ref="F570:O570"/>
    <mergeCell ref="P570:Q570"/>
    <mergeCell ref="B615:C615"/>
    <mergeCell ref="D615:E615"/>
    <mergeCell ref="F615:O615"/>
    <mergeCell ref="P615:Q615"/>
    <mergeCell ref="B616:C616"/>
    <mergeCell ref="D616:E616"/>
    <mergeCell ref="F616:O616"/>
    <mergeCell ref="P616:Q616"/>
    <mergeCell ref="B580:C580"/>
    <mergeCell ref="D580:E580"/>
    <mergeCell ref="F580:O580"/>
    <mergeCell ref="P580:Q580"/>
    <mergeCell ref="D598:E598"/>
    <mergeCell ref="F598:O598"/>
    <mergeCell ref="D603:E603"/>
    <mergeCell ref="F603:O603"/>
    <mergeCell ref="P592:Q592"/>
    <mergeCell ref="B593:C593"/>
    <mergeCell ref="B581:C581"/>
    <mergeCell ref="P627:Q627"/>
    <mergeCell ref="B640:C640"/>
    <mergeCell ref="D640:E640"/>
    <mergeCell ref="F640:O640"/>
    <mergeCell ref="P640:Q640"/>
    <mergeCell ref="P598:Q598"/>
    <mergeCell ref="B623:C623"/>
    <mergeCell ref="D623:E623"/>
    <mergeCell ref="F623:O623"/>
    <mergeCell ref="P623:Q623"/>
    <mergeCell ref="B607:C607"/>
    <mergeCell ref="D607:E607"/>
    <mergeCell ref="F607:O607"/>
    <mergeCell ref="P607:Q607"/>
    <mergeCell ref="B601:C601"/>
    <mergeCell ref="D601:E601"/>
    <mergeCell ref="F601:O601"/>
    <mergeCell ref="P601:Q601"/>
    <mergeCell ref="F613:O613"/>
    <mergeCell ref="P603:Q603"/>
    <mergeCell ref="B604:C604"/>
    <mergeCell ref="D604:E604"/>
    <mergeCell ref="F604:O604"/>
    <mergeCell ref="P604:Q604"/>
    <mergeCell ref="B625:C625"/>
    <mergeCell ref="D625:E625"/>
    <mergeCell ref="F625:O625"/>
    <mergeCell ref="P625:Q625"/>
    <mergeCell ref="B626:C626"/>
    <mergeCell ref="D626:E626"/>
    <mergeCell ref="F626:O626"/>
    <mergeCell ref="P626:Q626"/>
    <mergeCell ref="D593:E593"/>
    <mergeCell ref="F593:O593"/>
    <mergeCell ref="P593:Q593"/>
    <mergeCell ref="D599:E599"/>
    <mergeCell ref="P612:Q612"/>
    <mergeCell ref="B618:C618"/>
    <mergeCell ref="D618:E618"/>
    <mergeCell ref="F618:O618"/>
    <mergeCell ref="P618:Q618"/>
    <mergeCell ref="B613:C613"/>
    <mergeCell ref="D613:E613"/>
    <mergeCell ref="B617:C617"/>
    <mergeCell ref="D617:E617"/>
    <mergeCell ref="F617:O617"/>
    <mergeCell ref="P617:Q617"/>
    <mergeCell ref="B611:C611"/>
    <mergeCell ref="D611:E611"/>
    <mergeCell ref="F611:O611"/>
    <mergeCell ref="P611:Q611"/>
    <mergeCell ref="B612:C612"/>
    <mergeCell ref="D612:E612"/>
    <mergeCell ref="F612:O612"/>
    <mergeCell ref="F614:O614"/>
    <mergeCell ref="P614:Q614"/>
    <mergeCell ref="P608:Q608"/>
    <mergeCell ref="P613:Q613"/>
    <mergeCell ref="B614:C614"/>
    <mergeCell ref="D614:E614"/>
    <mergeCell ref="D600:E600"/>
    <mergeCell ref="F600:O600"/>
    <mergeCell ref="P600:Q600"/>
    <mergeCell ref="P641:Q641"/>
    <mergeCell ref="P639:Q639"/>
    <mergeCell ref="F651:O651"/>
    <mergeCell ref="P651:Q651"/>
    <mergeCell ref="B594:C594"/>
    <mergeCell ref="D594:E594"/>
    <mergeCell ref="F594:O594"/>
    <mergeCell ref="P594:Q594"/>
    <mergeCell ref="B595:C595"/>
    <mergeCell ref="D595:E595"/>
    <mergeCell ref="F595:O595"/>
    <mergeCell ref="P595:Q595"/>
    <mergeCell ref="B605:C605"/>
    <mergeCell ref="D605:E605"/>
    <mergeCell ref="F605:O605"/>
    <mergeCell ref="P605:Q605"/>
    <mergeCell ref="B606:C606"/>
    <mergeCell ref="D606:E606"/>
    <mergeCell ref="F606:O606"/>
    <mergeCell ref="P606:Q606"/>
    <mergeCell ref="B634:C634"/>
    <mergeCell ref="D621:E621"/>
    <mergeCell ref="F621:O621"/>
    <mergeCell ref="B596:C596"/>
    <mergeCell ref="D596:E596"/>
    <mergeCell ref="F596:O596"/>
    <mergeCell ref="P596:Q596"/>
    <mergeCell ref="B597:C597"/>
    <mergeCell ref="D597:E597"/>
    <mergeCell ref="F597:O597"/>
    <mergeCell ref="P597:Q597"/>
    <mergeCell ref="B598:C598"/>
    <mergeCell ref="P637:Q637"/>
    <mergeCell ref="B628:C628"/>
    <mergeCell ref="D628:E628"/>
    <mergeCell ref="B629:C629"/>
    <mergeCell ref="D629:E629"/>
    <mergeCell ref="F629:O629"/>
    <mergeCell ref="P629:Q629"/>
    <mergeCell ref="B630:C630"/>
    <mergeCell ref="D630:E630"/>
    <mergeCell ref="F630:O630"/>
    <mergeCell ref="F633:O633"/>
    <mergeCell ref="P634:Q634"/>
    <mergeCell ref="B633:C633"/>
    <mergeCell ref="D633:E633"/>
    <mergeCell ref="P630:Q630"/>
    <mergeCell ref="D634:E634"/>
    <mergeCell ref="F634:O634"/>
    <mergeCell ref="F676:O676"/>
    <mergeCell ref="P676:Q676"/>
    <mergeCell ref="B677:C677"/>
    <mergeCell ref="D677:E677"/>
    <mergeCell ref="F677:O677"/>
    <mergeCell ref="P677:Q677"/>
    <mergeCell ref="P659:Q659"/>
    <mergeCell ref="B655:C655"/>
    <mergeCell ref="D655:E655"/>
    <mergeCell ref="P660:Q660"/>
    <mergeCell ref="B661:C661"/>
    <mergeCell ref="D661:E661"/>
    <mergeCell ref="F661:O661"/>
    <mergeCell ref="P661:Q661"/>
    <mergeCell ref="B662:C662"/>
    <mergeCell ref="D676:E676"/>
    <mergeCell ref="B651:C651"/>
    <mergeCell ref="D651:E651"/>
    <mergeCell ref="D673:E673"/>
    <mergeCell ref="F673:O673"/>
    <mergeCell ref="P673:Q673"/>
    <mergeCell ref="B667:C667"/>
    <mergeCell ref="D667:E667"/>
    <mergeCell ref="F667:O667"/>
    <mergeCell ref="P667:Q667"/>
    <mergeCell ref="B668:C668"/>
    <mergeCell ref="D668:E668"/>
    <mergeCell ref="F668:O668"/>
    <mergeCell ref="P668:Q668"/>
    <mergeCell ref="B669:C669"/>
    <mergeCell ref="D669:E669"/>
    <mergeCell ref="P669:Q669"/>
    <mergeCell ref="P635:Q635"/>
    <mergeCell ref="B636:C636"/>
    <mergeCell ref="D636:E636"/>
    <mergeCell ref="F636:O636"/>
    <mergeCell ref="B652:C652"/>
    <mergeCell ref="D652:E652"/>
    <mergeCell ref="F652:O652"/>
    <mergeCell ref="P652:Q652"/>
    <mergeCell ref="B653:C653"/>
    <mergeCell ref="D653:E653"/>
    <mergeCell ref="F653:O653"/>
    <mergeCell ref="P653:Q653"/>
    <mergeCell ref="B654:C654"/>
    <mergeCell ref="D654:E654"/>
    <mergeCell ref="F654:O654"/>
    <mergeCell ref="P654:Q654"/>
    <mergeCell ref="F643:O643"/>
    <mergeCell ref="P643:Q643"/>
    <mergeCell ref="B644:C644"/>
    <mergeCell ref="D644:E644"/>
    <mergeCell ref="F644:O644"/>
    <mergeCell ref="P644:Q644"/>
    <mergeCell ref="B627:C627"/>
    <mergeCell ref="D627:E627"/>
    <mergeCell ref="B642:C642"/>
    <mergeCell ref="D642:E642"/>
    <mergeCell ref="P636:Q636"/>
    <mergeCell ref="B637:C637"/>
    <mergeCell ref="D637:E637"/>
    <mergeCell ref="F637:O637"/>
    <mergeCell ref="B702:C702"/>
    <mergeCell ref="D702:E702"/>
    <mergeCell ref="F702:O702"/>
    <mergeCell ref="P702:Q702"/>
    <mergeCell ref="B683:C683"/>
    <mergeCell ref="D683:E683"/>
    <mergeCell ref="F683:O683"/>
    <mergeCell ref="P683:Q683"/>
    <mergeCell ref="B693:C693"/>
    <mergeCell ref="D693:E693"/>
    <mergeCell ref="F693:O693"/>
    <mergeCell ref="P693:Q693"/>
    <mergeCell ref="B694:C694"/>
    <mergeCell ref="D694:E694"/>
    <mergeCell ref="F694:O694"/>
    <mergeCell ref="P694:Q694"/>
    <mergeCell ref="B695:C695"/>
    <mergeCell ref="D695:E695"/>
    <mergeCell ref="F695:O695"/>
    <mergeCell ref="P695:Q695"/>
    <mergeCell ref="B696:C696"/>
    <mergeCell ref="D696:E696"/>
    <mergeCell ref="B701:C701"/>
    <mergeCell ref="D701:E701"/>
    <mergeCell ref="F701:O701"/>
    <mergeCell ref="P701:Q701"/>
    <mergeCell ref="B699:C699"/>
    <mergeCell ref="D699:E699"/>
    <mergeCell ref="F699:O699"/>
    <mergeCell ref="P699:Q699"/>
    <mergeCell ref="F696:O696"/>
    <mergeCell ref="P696:Q696"/>
    <mergeCell ref="B691:C691"/>
    <mergeCell ref="D691:E691"/>
    <mergeCell ref="D678:E678"/>
    <mergeCell ref="F678:O678"/>
    <mergeCell ref="P678:Q678"/>
    <mergeCell ref="B679:C679"/>
    <mergeCell ref="D679:E679"/>
    <mergeCell ref="F679:O679"/>
    <mergeCell ref="P679:Q679"/>
    <mergeCell ref="B680:C680"/>
    <mergeCell ref="D680:E680"/>
    <mergeCell ref="F680:O680"/>
    <mergeCell ref="P680:Q680"/>
    <mergeCell ref="B681:C681"/>
    <mergeCell ref="D681:E681"/>
    <mergeCell ref="F681:O681"/>
    <mergeCell ref="P681:Q681"/>
    <mergeCell ref="B682:C682"/>
    <mergeCell ref="D682:E682"/>
    <mergeCell ref="B678:C678"/>
    <mergeCell ref="N444:O444"/>
    <mergeCell ref="P444:Z444"/>
    <mergeCell ref="C445:E445"/>
    <mergeCell ref="F445:G445"/>
    <mergeCell ref="H445:I445"/>
    <mergeCell ref="J445:K445"/>
    <mergeCell ref="L445:M445"/>
    <mergeCell ref="N445:O445"/>
    <mergeCell ref="P445:Z445"/>
    <mergeCell ref="P689:Q689"/>
    <mergeCell ref="B690:C690"/>
    <mergeCell ref="D690:E690"/>
    <mergeCell ref="F690:O690"/>
    <mergeCell ref="P690:Q690"/>
    <mergeCell ref="B686:C686"/>
    <mergeCell ref="D686:E686"/>
    <mergeCell ref="F686:O686"/>
    <mergeCell ref="P686:Q686"/>
    <mergeCell ref="B687:C687"/>
    <mergeCell ref="D689:E689"/>
    <mergeCell ref="F689:O689"/>
    <mergeCell ref="D638:E638"/>
    <mergeCell ref="F638:O638"/>
    <mergeCell ref="P638:Q638"/>
    <mergeCell ref="B608:C608"/>
    <mergeCell ref="D608:E608"/>
    <mergeCell ref="B622:C622"/>
    <mergeCell ref="B665:C665"/>
    <mergeCell ref="D665:E665"/>
    <mergeCell ref="B635:C635"/>
    <mergeCell ref="D635:E635"/>
    <mergeCell ref="F635:O635"/>
    <mergeCell ref="B697:C697"/>
    <mergeCell ref="D697:E697"/>
    <mergeCell ref="F697:O697"/>
    <mergeCell ref="P697:Q697"/>
    <mergeCell ref="F665:O665"/>
    <mergeCell ref="P656:Q656"/>
    <mergeCell ref="B657:C657"/>
    <mergeCell ref="D657:E657"/>
    <mergeCell ref="F657:O657"/>
    <mergeCell ref="P657:Q657"/>
    <mergeCell ref="B658:C658"/>
    <mergeCell ref="D658:E658"/>
    <mergeCell ref="B639:C639"/>
    <mergeCell ref="D639:E639"/>
    <mergeCell ref="F639:O639"/>
    <mergeCell ref="F608:O608"/>
    <mergeCell ref="B436:C436"/>
    <mergeCell ref="B437:C437"/>
    <mergeCell ref="C444:E444"/>
    <mergeCell ref="F444:G444"/>
    <mergeCell ref="H444:I444"/>
    <mergeCell ref="J444:K444"/>
    <mergeCell ref="L444:M444"/>
    <mergeCell ref="P684:Q684"/>
    <mergeCell ref="B685:C685"/>
    <mergeCell ref="D685:E685"/>
    <mergeCell ref="F685:O685"/>
    <mergeCell ref="P685:Q685"/>
    <mergeCell ref="F691:O691"/>
    <mergeCell ref="D687:E687"/>
    <mergeCell ref="F687:O687"/>
    <mergeCell ref="P687:Q687"/>
    <mergeCell ref="B449:C449"/>
    <mergeCell ref="C452:E452"/>
    <mergeCell ref="F452:G452"/>
    <mergeCell ref="C453:E453"/>
    <mergeCell ref="F453:G453"/>
    <mergeCell ref="C454:E454"/>
    <mergeCell ref="F454:G454"/>
    <mergeCell ref="C455:E455"/>
    <mergeCell ref="F455:G455"/>
    <mergeCell ref="C456:E456"/>
    <mergeCell ref="F456:G456"/>
    <mergeCell ref="C459:E459"/>
    <mergeCell ref="F459:G459"/>
    <mergeCell ref="H459:I459"/>
    <mergeCell ref="J459:X459"/>
    <mergeCell ref="C460:E460"/>
    <mergeCell ref="F460:G460"/>
    <mergeCell ref="H460:I460"/>
    <mergeCell ref="J460:X460"/>
    <mergeCell ref="B692:C692"/>
    <mergeCell ref="D692:E692"/>
    <mergeCell ref="F692:O692"/>
    <mergeCell ref="P692:Q692"/>
    <mergeCell ref="B689:C689"/>
    <mergeCell ref="C463:E463"/>
    <mergeCell ref="F463:G463"/>
    <mergeCell ref="H463:I463"/>
    <mergeCell ref="J463:X463"/>
    <mergeCell ref="C464:E464"/>
    <mergeCell ref="F464:G464"/>
    <mergeCell ref="H464:I464"/>
    <mergeCell ref="J464:X464"/>
    <mergeCell ref="C465:E465"/>
    <mergeCell ref="F465:G465"/>
    <mergeCell ref="H465:I465"/>
    <mergeCell ref="J465:X465"/>
    <mergeCell ref="C466:E466"/>
    <mergeCell ref="F466:G466"/>
    <mergeCell ref="H466:I466"/>
    <mergeCell ref="J466:X466"/>
    <mergeCell ref="C467:E467"/>
    <mergeCell ref="F467:G467"/>
    <mergeCell ref="H467:I467"/>
    <mergeCell ref="J467:X467"/>
    <mergeCell ref="B688:C688"/>
    <mergeCell ref="D688:E688"/>
    <mergeCell ref="F688:O688"/>
    <mergeCell ref="P688:Q688"/>
    <mergeCell ref="B684:C684"/>
    <mergeCell ref="D684:E684"/>
    <mergeCell ref="F684:O684"/>
    <mergeCell ref="D738:F738"/>
    <mergeCell ref="H738:I738"/>
    <mergeCell ref="L738:M738"/>
    <mergeCell ref="N738:O738"/>
    <mergeCell ref="P738:Z738"/>
    <mergeCell ref="B732:C732"/>
    <mergeCell ref="B700:C700"/>
    <mergeCell ref="D700:E700"/>
    <mergeCell ref="F700:O700"/>
    <mergeCell ref="P700:Q700"/>
    <mergeCell ref="F655:O655"/>
    <mergeCell ref="P655:Q655"/>
    <mergeCell ref="B631:C631"/>
    <mergeCell ref="D631:E631"/>
    <mergeCell ref="F631:O631"/>
    <mergeCell ref="P631:Q631"/>
    <mergeCell ref="B646:C646"/>
    <mergeCell ref="D646:E646"/>
    <mergeCell ref="F646:O646"/>
    <mergeCell ref="P646:Q646"/>
    <mergeCell ref="B674:C674"/>
    <mergeCell ref="D674:E674"/>
    <mergeCell ref="F674:O674"/>
    <mergeCell ref="P674:Q674"/>
    <mergeCell ref="B675:C675"/>
    <mergeCell ref="D675:E675"/>
    <mergeCell ref="F675:O675"/>
    <mergeCell ref="P675:Q675"/>
    <mergeCell ref="B676:C676"/>
    <mergeCell ref="F682:O682"/>
    <mergeCell ref="P682:Q682"/>
    <mergeCell ref="P691:Q691"/>
    <mergeCell ref="C750:F750"/>
    <mergeCell ref="H750:I750"/>
    <mergeCell ref="L750:M750"/>
    <mergeCell ref="N750:O750"/>
    <mergeCell ref="P750:Z750"/>
    <mergeCell ref="D741:F741"/>
    <mergeCell ref="H741:I741"/>
    <mergeCell ref="L741:M741"/>
    <mergeCell ref="N741:O741"/>
    <mergeCell ref="Q741:Z741"/>
    <mergeCell ref="D742:F742"/>
    <mergeCell ref="H742:I742"/>
    <mergeCell ref="L742:M742"/>
    <mergeCell ref="N742:O742"/>
    <mergeCell ref="Q742:Z742"/>
    <mergeCell ref="D743:F743"/>
    <mergeCell ref="H743:I743"/>
    <mergeCell ref="L743:M743"/>
    <mergeCell ref="N743:O743"/>
    <mergeCell ref="Q743:Z743"/>
    <mergeCell ref="D744:F744"/>
    <mergeCell ref="H744:I744"/>
    <mergeCell ref="L744:M744"/>
    <mergeCell ref="N744:O744"/>
    <mergeCell ref="Q744:Z744"/>
    <mergeCell ref="B324:C324"/>
    <mergeCell ref="E324:F324"/>
    <mergeCell ref="C747:F747"/>
    <mergeCell ref="H747:I747"/>
    <mergeCell ref="L747:M747"/>
    <mergeCell ref="N747:O747"/>
    <mergeCell ref="P747:Z747"/>
    <mergeCell ref="C748:F748"/>
    <mergeCell ref="H748:I748"/>
    <mergeCell ref="L748:M748"/>
    <mergeCell ref="N748:O748"/>
    <mergeCell ref="P748:Z748"/>
    <mergeCell ref="C749:F749"/>
    <mergeCell ref="H749:I749"/>
    <mergeCell ref="L749:M749"/>
    <mergeCell ref="N749:O749"/>
    <mergeCell ref="P749:Z749"/>
    <mergeCell ref="D735:F735"/>
    <mergeCell ref="H735:I735"/>
    <mergeCell ref="L735:M735"/>
    <mergeCell ref="N735:O735"/>
    <mergeCell ref="P735:Z735"/>
    <mergeCell ref="D736:F736"/>
    <mergeCell ref="H736:I736"/>
    <mergeCell ref="L736:M736"/>
    <mergeCell ref="N736:O736"/>
    <mergeCell ref="P736:Z736"/>
    <mergeCell ref="D737:F737"/>
    <mergeCell ref="H737:I737"/>
    <mergeCell ref="L737:M737"/>
    <mergeCell ref="N737:O737"/>
    <mergeCell ref="P737:Z737"/>
    <mergeCell ref="T293:U293"/>
    <mergeCell ref="T294:U294"/>
    <mergeCell ref="T295:U295"/>
    <mergeCell ref="T296:U296"/>
    <mergeCell ref="L324:M324"/>
    <mergeCell ref="N324:O324"/>
    <mergeCell ref="P303:Q303"/>
    <mergeCell ref="R303:S303"/>
    <mergeCell ref="P304:Q304"/>
    <mergeCell ref="R304:S304"/>
    <mergeCell ref="P305:Q305"/>
    <mergeCell ref="R305:S305"/>
    <mergeCell ref="P306:Q306"/>
    <mergeCell ref="R306:S306"/>
    <mergeCell ref="T276:U276"/>
    <mergeCell ref="T277:U277"/>
    <mergeCell ref="T278:U278"/>
    <mergeCell ref="T279:U279"/>
    <mergeCell ref="T280:U280"/>
    <mergeCell ref="T281:U281"/>
    <mergeCell ref="T282:U282"/>
    <mergeCell ref="T283:U283"/>
    <mergeCell ref="T284:U284"/>
    <mergeCell ref="T285:U285"/>
    <mergeCell ref="T286:U286"/>
    <mergeCell ref="T287:U287"/>
    <mergeCell ref="T288:U288"/>
    <mergeCell ref="T289:U289"/>
    <mergeCell ref="T290:U290"/>
    <mergeCell ref="T291:U291"/>
    <mergeCell ref="T292:U292"/>
    <mergeCell ref="G324:H324"/>
    <mergeCell ref="J324:K324"/>
    <mergeCell ref="T297:U297"/>
    <mergeCell ref="T298:U298"/>
    <mergeCell ref="T299:U299"/>
    <mergeCell ref="T300:U300"/>
    <mergeCell ref="T301:U301"/>
    <mergeCell ref="T302:U302"/>
    <mergeCell ref="T303:U303"/>
    <mergeCell ref="T304:U304"/>
    <mergeCell ref="T305:U305"/>
    <mergeCell ref="T306:U306"/>
    <mergeCell ref="T307:U307"/>
    <mergeCell ref="T308:U308"/>
    <mergeCell ref="T309:U309"/>
    <mergeCell ref="T310:U310"/>
    <mergeCell ref="T311:U311"/>
    <mergeCell ref="T312:U312"/>
    <mergeCell ref="T313:U313"/>
    <mergeCell ref="P307:Q307"/>
    <mergeCell ref="R307:S307"/>
    <mergeCell ref="P308:Q308"/>
    <mergeCell ref="R308:S308"/>
    <mergeCell ref="R309:S309"/>
    <mergeCell ref="P311:Q311"/>
    <mergeCell ref="R311:S311"/>
    <mergeCell ref="P317:Q317"/>
    <mergeCell ref="R317:S317"/>
    <mergeCell ref="P314:Q314"/>
    <mergeCell ref="P315:Q315"/>
    <mergeCell ref="P316:Q316"/>
    <mergeCell ref="R310:S310"/>
    <mergeCell ref="T331:U331"/>
    <mergeCell ref="T314:U314"/>
    <mergeCell ref="T315:U315"/>
    <mergeCell ref="T316:U316"/>
    <mergeCell ref="T317:U317"/>
    <mergeCell ref="T318:U318"/>
    <mergeCell ref="T319:U319"/>
    <mergeCell ref="T320:U320"/>
    <mergeCell ref="T321:U321"/>
    <mergeCell ref="T322:U322"/>
    <mergeCell ref="T323:U323"/>
    <mergeCell ref="T324:U324"/>
    <mergeCell ref="T325:U325"/>
    <mergeCell ref="T326:U326"/>
    <mergeCell ref="T327:U327"/>
    <mergeCell ref="T328:U328"/>
    <mergeCell ref="T329:U329"/>
    <mergeCell ref="T330:U330"/>
    <mergeCell ref="B232:E232"/>
    <mergeCell ref="F232:P232"/>
    <mergeCell ref="Q232:S232"/>
    <mergeCell ref="B233:E233"/>
    <mergeCell ref="F233:P233"/>
    <mergeCell ref="Q233:S233"/>
    <mergeCell ref="B239:E239"/>
    <mergeCell ref="F239:P239"/>
    <mergeCell ref="L103:M103"/>
    <mergeCell ref="B104:F104"/>
    <mergeCell ref="G104:I104"/>
    <mergeCell ref="L104:M104"/>
    <mergeCell ref="B99:F99"/>
    <mergeCell ref="G99:I99"/>
    <mergeCell ref="L99:M99"/>
    <mergeCell ref="B100:F100"/>
    <mergeCell ref="G100:I100"/>
    <mergeCell ref="L100:M100"/>
    <mergeCell ref="B101:F101"/>
    <mergeCell ref="G101:I101"/>
    <mergeCell ref="L101:M101"/>
    <mergeCell ref="B229:E229"/>
    <mergeCell ref="F229:P229"/>
    <mergeCell ref="Q229:S229"/>
    <mergeCell ref="B230:E230"/>
    <mergeCell ref="F230:P230"/>
    <mergeCell ref="Q230:S230"/>
    <mergeCell ref="N218:P218"/>
    <mergeCell ref="H212:I212"/>
    <mergeCell ref="H213:I213"/>
    <mergeCell ref="B168:F168"/>
    <mergeCell ref="Q239:S239"/>
    <mergeCell ref="B413:C413"/>
    <mergeCell ref="B414:C414"/>
    <mergeCell ref="C342:D342"/>
    <mergeCell ref="C340:D340"/>
    <mergeCell ref="C341:D341"/>
    <mergeCell ref="C338:D338"/>
    <mergeCell ref="C339:D339"/>
    <mergeCell ref="B240:E240"/>
    <mergeCell ref="F240:P240"/>
    <mergeCell ref="Q240:S240"/>
    <mergeCell ref="B234:E234"/>
    <mergeCell ref="F234:P234"/>
    <mergeCell ref="Q234:S234"/>
    <mergeCell ref="B235:E235"/>
    <mergeCell ref="F235:P235"/>
    <mergeCell ref="Q235:S235"/>
    <mergeCell ref="B236:E236"/>
    <mergeCell ref="F236:P236"/>
    <mergeCell ref="Q236:S236"/>
    <mergeCell ref="B237:E237"/>
    <mergeCell ref="F237:P237"/>
    <mergeCell ref="Q237:S237"/>
    <mergeCell ref="B238:E238"/>
    <mergeCell ref="F238:P238"/>
    <mergeCell ref="Q238:S238"/>
    <mergeCell ref="B228:E228"/>
    <mergeCell ref="F228:P228"/>
    <mergeCell ref="Q228:S228"/>
    <mergeCell ref="B231:E231"/>
    <mergeCell ref="F231:P231"/>
    <mergeCell ref="Q231:S231"/>
    <mergeCell ref="C432:E432"/>
    <mergeCell ref="F432:G432"/>
    <mergeCell ref="H432:I432"/>
    <mergeCell ref="J432:K432"/>
    <mergeCell ref="L432:M432"/>
    <mergeCell ref="N432:O432"/>
    <mergeCell ref="P432:Z432"/>
    <mergeCell ref="C426:E426"/>
    <mergeCell ref="F426:G426"/>
    <mergeCell ref="H426:I426"/>
    <mergeCell ref="J426:K426"/>
    <mergeCell ref="L426:M426"/>
    <mergeCell ref="N426:O426"/>
    <mergeCell ref="P426:Z426"/>
    <mergeCell ref="F427:G427"/>
    <mergeCell ref="H427:I427"/>
    <mergeCell ref="J427:K427"/>
    <mergeCell ref="L427:M427"/>
    <mergeCell ref="N427:O427"/>
    <mergeCell ref="P427:Z427"/>
    <mergeCell ref="C428:E428"/>
    <mergeCell ref="F428:G428"/>
    <mergeCell ref="H428:I428"/>
    <mergeCell ref="J428:K428"/>
    <mergeCell ref="L428:M428"/>
    <mergeCell ref="N428:O428"/>
    <mergeCell ref="P428:Z428"/>
    <mergeCell ref="C427:E427"/>
    <mergeCell ref="C406:E406"/>
    <mergeCell ref="F406:G406"/>
    <mergeCell ref="H406:I406"/>
    <mergeCell ref="J406:K406"/>
    <mergeCell ref="L406:M406"/>
    <mergeCell ref="N406:O406"/>
    <mergeCell ref="P406:Z406"/>
    <mergeCell ref="C407:E407"/>
    <mergeCell ref="F407:G407"/>
    <mergeCell ref="H407:I407"/>
    <mergeCell ref="J407:K407"/>
    <mergeCell ref="L407:M407"/>
    <mergeCell ref="N407:O407"/>
    <mergeCell ref="P407:Z407"/>
    <mergeCell ref="C408:E408"/>
    <mergeCell ref="F408:G408"/>
    <mergeCell ref="H408:I408"/>
    <mergeCell ref="J408:K408"/>
    <mergeCell ref="L408:M408"/>
    <mergeCell ref="N408:O408"/>
    <mergeCell ref="P408:Z408"/>
    <mergeCell ref="C409:E409"/>
    <mergeCell ref="F409:G409"/>
    <mergeCell ref="H409:I409"/>
    <mergeCell ref="J409:K409"/>
    <mergeCell ref="C431:E431"/>
    <mergeCell ref="F431:G431"/>
    <mergeCell ref="H431:I431"/>
    <mergeCell ref="J431:K431"/>
    <mergeCell ref="L431:M431"/>
    <mergeCell ref="N431:O431"/>
    <mergeCell ref="P431:Z431"/>
    <mergeCell ref="C429:E429"/>
    <mergeCell ref="F429:G429"/>
    <mergeCell ref="H429:I429"/>
    <mergeCell ref="J429:K429"/>
    <mergeCell ref="L429:M429"/>
    <mergeCell ref="N429:O429"/>
    <mergeCell ref="P429:Z429"/>
    <mergeCell ref="C430:E430"/>
    <mergeCell ref="F430:G430"/>
    <mergeCell ref="H430:I430"/>
    <mergeCell ref="J430:K430"/>
    <mergeCell ref="L430:M430"/>
    <mergeCell ref="N430:O430"/>
    <mergeCell ref="P430:Z430"/>
    <mergeCell ref="C394:E394"/>
    <mergeCell ref="F394:G394"/>
    <mergeCell ref="C395:E395"/>
    <mergeCell ref="F395:G395"/>
    <mergeCell ref="C396:E396"/>
    <mergeCell ref="F396:G396"/>
    <mergeCell ref="C397:E397"/>
    <mergeCell ref="F397:G397"/>
    <mergeCell ref="C398:E398"/>
    <mergeCell ref="F398:G398"/>
    <mergeCell ref="C399:E399"/>
    <mergeCell ref="F399:G399"/>
    <mergeCell ref="C400:E400"/>
    <mergeCell ref="F400:G400"/>
    <mergeCell ref="L409:M409"/>
    <mergeCell ref="N409:O409"/>
    <mergeCell ref="P409:Z409"/>
    <mergeCell ref="C401:E401"/>
    <mergeCell ref="F401:G401"/>
    <mergeCell ref="C402:E402"/>
    <mergeCell ref="F402:G402"/>
    <mergeCell ref="C405:E405"/>
    <mergeCell ref="F405:G405"/>
    <mergeCell ref="H405:I405"/>
    <mergeCell ref="J405:K405"/>
    <mergeCell ref="L405:M405"/>
    <mergeCell ref="N405:O405"/>
    <mergeCell ref="P405:Z405"/>
  </mergeCells>
  <hyperlinks>
    <hyperlink ref="Q236:S236" r:id="rId1" display="Hate of the Cobra" xr:uid="{DD3D9158-5B43-4A60-B1AC-94542961D741}"/>
  </hyperlinks>
  <pageMargins left="0.7" right="0.7" top="0.75" bottom="0.75" header="0.3" footer="0.3"/>
  <pageSetup scale="36" fitToWidth="0"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3BE8-F691-4516-8147-EBA89337F022}">
  <dimension ref="A1:AC1000"/>
  <sheetViews>
    <sheetView topLeftCell="A409" workbookViewId="0">
      <selection activeCell="N434" sqref="N434:O434"/>
    </sheetView>
  </sheetViews>
  <sheetFormatPr defaultRowHeight="15" x14ac:dyDescent="0.25"/>
  <cols>
    <col min="1" max="1" width="1.28515625" customWidth="1"/>
  </cols>
  <sheetData>
    <row r="1" spans="2:29" s="11" customFormat="1" ht="28.5" x14ac:dyDescent="0.45">
      <c r="B1" s="23" t="s">
        <v>914</v>
      </c>
      <c r="U1" s="33"/>
      <c r="V1" s="33"/>
      <c r="W1" s="33"/>
      <c r="X1" s="33"/>
      <c r="Y1" s="33"/>
      <c r="Z1" s="33"/>
      <c r="AA1" s="33"/>
      <c r="AB1" s="33"/>
      <c r="AC1" s="33"/>
    </row>
    <row r="2" spans="2:29" s="199" customFormat="1" x14ac:dyDescent="0.25">
      <c r="B2" s="84"/>
      <c r="C2" s="84"/>
      <c r="D2" s="84"/>
      <c r="E2" s="84"/>
      <c r="F2" s="84"/>
      <c r="G2" s="84"/>
      <c r="H2" s="84"/>
      <c r="I2" s="84"/>
      <c r="J2" s="84"/>
      <c r="K2" s="84"/>
      <c r="L2" s="84"/>
      <c r="M2" s="84"/>
      <c r="N2" s="84"/>
      <c r="O2" s="84"/>
      <c r="P2" s="84"/>
      <c r="Q2" s="84"/>
      <c r="R2" s="84"/>
      <c r="S2" s="84"/>
      <c r="T2" s="84"/>
      <c r="U2" s="218"/>
      <c r="V2" s="218"/>
      <c r="W2" s="218"/>
      <c r="X2" s="218"/>
      <c r="Y2" s="218"/>
      <c r="Z2" s="218"/>
      <c r="AA2" s="218"/>
      <c r="AB2" s="218"/>
      <c r="AC2" s="218"/>
    </row>
    <row r="3" spans="2:29" s="1" customFormat="1" x14ac:dyDescent="0.25">
      <c r="B3" s="164" t="s">
        <v>5</v>
      </c>
      <c r="C3" s="164"/>
      <c r="D3" s="90" t="s">
        <v>910</v>
      </c>
      <c r="E3" s="91"/>
      <c r="F3" s="92"/>
      <c r="U3" s="34"/>
      <c r="V3" s="34"/>
      <c r="W3" s="34"/>
      <c r="X3" s="34"/>
      <c r="Y3" s="34"/>
      <c r="Z3" s="34"/>
      <c r="AA3" s="34"/>
      <c r="AB3" s="34"/>
      <c r="AC3" s="34"/>
    </row>
    <row r="4" spans="2:29" s="1" customFormat="1" x14ac:dyDescent="0.25">
      <c r="B4" s="164" t="s">
        <v>208</v>
      </c>
      <c r="C4" s="164"/>
      <c r="D4" s="90" t="s">
        <v>911</v>
      </c>
      <c r="E4" s="91"/>
      <c r="F4" s="92"/>
      <c r="U4" s="34"/>
      <c r="V4" s="34"/>
      <c r="W4" s="34"/>
      <c r="X4" s="34"/>
      <c r="Y4" s="34"/>
      <c r="Z4" s="34"/>
      <c r="AA4" s="34"/>
      <c r="AB4" s="34"/>
      <c r="AC4" s="34"/>
    </row>
    <row r="5" spans="2:29" s="1" customFormat="1" x14ac:dyDescent="0.25">
      <c r="B5" s="164" t="s">
        <v>17</v>
      </c>
      <c r="C5" s="164"/>
      <c r="D5" s="90" t="s">
        <v>194</v>
      </c>
      <c r="E5" s="91"/>
      <c r="F5" s="92"/>
      <c r="U5" s="34"/>
      <c r="V5" s="34"/>
      <c r="W5" s="34"/>
      <c r="X5" s="34"/>
      <c r="Y5" s="34"/>
      <c r="Z5" s="34"/>
      <c r="AA5" s="34"/>
      <c r="AB5" s="34"/>
      <c r="AC5" s="34"/>
    </row>
    <row r="6" spans="2:29" s="1" customFormat="1" x14ac:dyDescent="0.25">
      <c r="B6" s="164" t="s">
        <v>912</v>
      </c>
      <c r="C6" s="164"/>
      <c r="D6" s="90" t="s">
        <v>913</v>
      </c>
      <c r="E6" s="91"/>
      <c r="F6" s="92"/>
      <c r="U6" s="34"/>
      <c r="V6" s="34"/>
      <c r="W6" s="34"/>
      <c r="X6" s="34"/>
      <c r="Y6" s="34"/>
      <c r="Z6" s="34"/>
      <c r="AA6" s="34"/>
      <c r="AB6" s="34"/>
      <c r="AC6" s="34"/>
    </row>
    <row r="7" spans="2:29" s="1" customFormat="1" x14ac:dyDescent="0.25">
      <c r="B7" s="7"/>
      <c r="C7" s="7"/>
      <c r="D7" s="7"/>
      <c r="E7" s="7"/>
      <c r="F7" s="7"/>
      <c r="G7" s="7"/>
      <c r="H7" s="7"/>
      <c r="I7" s="7"/>
      <c r="J7" s="7"/>
      <c r="K7" s="7"/>
      <c r="L7" s="7"/>
      <c r="M7" s="7"/>
      <c r="N7" s="7"/>
      <c r="O7" s="7"/>
      <c r="P7" s="7"/>
      <c r="Q7" s="7"/>
      <c r="R7" s="7"/>
      <c r="S7" s="7"/>
      <c r="T7" s="7"/>
      <c r="U7" s="34"/>
      <c r="V7" s="34"/>
      <c r="W7" s="34"/>
      <c r="X7" s="34"/>
      <c r="Y7" s="34"/>
      <c r="Z7" s="34"/>
      <c r="AA7" s="34"/>
      <c r="AB7" s="34"/>
      <c r="AC7" s="34"/>
    </row>
    <row r="8" spans="2:29" s="1" customFormat="1" x14ac:dyDescent="0.25">
      <c r="B8" s="7" t="s">
        <v>915</v>
      </c>
      <c r="C8" s="7"/>
      <c r="D8" s="7"/>
      <c r="E8" s="7"/>
      <c r="F8" s="7"/>
      <c r="G8" s="7"/>
      <c r="H8" s="7"/>
      <c r="I8" s="7"/>
      <c r="J8" s="7"/>
      <c r="K8" s="7"/>
      <c r="L8" s="7"/>
      <c r="M8" s="7"/>
      <c r="N8" s="7"/>
      <c r="O8" s="7"/>
      <c r="P8" s="7"/>
      <c r="Q8" s="7"/>
      <c r="R8" s="7"/>
      <c r="S8" s="7"/>
      <c r="T8" s="7"/>
      <c r="U8" s="34"/>
      <c r="V8" s="34"/>
      <c r="W8" s="34"/>
      <c r="X8" s="34"/>
      <c r="Y8" s="34"/>
      <c r="Z8" s="34"/>
      <c r="AA8" s="34"/>
      <c r="AB8" s="34"/>
      <c r="AC8" s="34"/>
    </row>
    <row r="9" spans="2:29" s="1" customFormat="1" x14ac:dyDescent="0.25">
      <c r="B9" s="83" t="s">
        <v>22</v>
      </c>
      <c r="C9" s="78" t="s">
        <v>23</v>
      </c>
      <c r="D9" s="83" t="s">
        <v>255</v>
      </c>
      <c r="E9" s="83" t="s">
        <v>254</v>
      </c>
      <c r="F9" s="78" t="s">
        <v>68</v>
      </c>
      <c r="G9" s="78" t="s">
        <v>24</v>
      </c>
      <c r="I9" s="7"/>
      <c r="U9" s="34"/>
      <c r="V9" s="34"/>
      <c r="W9" s="34"/>
      <c r="X9" s="34"/>
      <c r="Y9" s="34"/>
      <c r="Z9" s="34"/>
      <c r="AA9" s="34"/>
      <c r="AB9" s="34"/>
      <c r="AC9" s="34"/>
    </row>
    <row r="10" spans="2:29" s="1" customFormat="1" x14ac:dyDescent="0.25">
      <c r="B10" s="83" t="s">
        <v>25</v>
      </c>
      <c r="C10" s="80">
        <v>3</v>
      </c>
      <c r="D10" s="77">
        <v>0</v>
      </c>
      <c r="E10" s="32">
        <v>0</v>
      </c>
      <c r="F10" s="24">
        <f>(C10+D10+E10+6)</f>
        <v>9</v>
      </c>
      <c r="G10" s="76">
        <f>FLOOR((F10-10)/2,1)</f>
        <v>-1</v>
      </c>
      <c r="U10" s="34"/>
      <c r="V10" s="34"/>
      <c r="W10" s="34"/>
      <c r="X10" s="34"/>
      <c r="Y10" s="34"/>
      <c r="Z10" s="34"/>
      <c r="AA10" s="34"/>
      <c r="AB10" s="34"/>
      <c r="AC10" s="34"/>
    </row>
    <row r="11" spans="2:29" s="1" customFormat="1" x14ac:dyDescent="0.25">
      <c r="B11" s="83" t="s">
        <v>26</v>
      </c>
      <c r="C11" s="80">
        <v>17</v>
      </c>
      <c r="D11" s="77">
        <v>0</v>
      </c>
      <c r="E11" s="32">
        <v>0</v>
      </c>
      <c r="F11" s="24">
        <f t="shared" ref="F11:F15" si="0">(C11+D11+E11)</f>
        <v>17</v>
      </c>
      <c r="G11" s="76">
        <f t="shared" ref="G11:G15" si="1">FLOOR((F11-10)/2,1)</f>
        <v>3</v>
      </c>
      <c r="U11" s="34"/>
      <c r="V11" s="34"/>
      <c r="W11" s="34"/>
      <c r="X11" s="34"/>
      <c r="Y11" s="34"/>
      <c r="Z11" s="34"/>
      <c r="AA11" s="34"/>
      <c r="AB11" s="34"/>
      <c r="AC11" s="34"/>
    </row>
    <row r="12" spans="2:29" s="1" customFormat="1" x14ac:dyDescent="0.25">
      <c r="B12" s="8" t="s">
        <v>27</v>
      </c>
      <c r="C12" s="80">
        <v>10</v>
      </c>
      <c r="D12" s="77">
        <v>0</v>
      </c>
      <c r="E12" s="32">
        <v>0</v>
      </c>
      <c r="F12" s="24">
        <f>(C12+D12+E12+6)</f>
        <v>16</v>
      </c>
      <c r="G12" s="76">
        <f t="shared" si="1"/>
        <v>3</v>
      </c>
      <c r="U12" s="34"/>
      <c r="V12" s="34"/>
      <c r="W12" s="34"/>
      <c r="X12" s="34"/>
      <c r="Y12" s="34"/>
      <c r="Z12" s="34"/>
      <c r="AA12" s="34"/>
      <c r="AB12" s="34"/>
      <c r="AC12" s="34"/>
    </row>
    <row r="13" spans="2:29" s="1" customFormat="1" x14ac:dyDescent="0.25">
      <c r="B13" s="8" t="s">
        <v>28</v>
      </c>
      <c r="C13" s="80">
        <v>16</v>
      </c>
      <c r="D13" s="77">
        <v>0</v>
      </c>
      <c r="E13" s="32">
        <v>0</v>
      </c>
      <c r="F13" s="24">
        <f t="shared" si="0"/>
        <v>16</v>
      </c>
      <c r="G13" s="76">
        <f t="shared" si="1"/>
        <v>3</v>
      </c>
      <c r="U13" s="34"/>
      <c r="V13" s="34"/>
      <c r="W13" s="34"/>
      <c r="X13" s="34"/>
      <c r="Y13" s="34"/>
      <c r="Z13" s="34"/>
      <c r="AA13" s="34"/>
      <c r="AB13" s="34"/>
      <c r="AC13" s="34"/>
    </row>
    <row r="14" spans="2:29" s="1" customFormat="1" x14ac:dyDescent="0.25">
      <c r="B14" s="83" t="s">
        <v>29</v>
      </c>
      <c r="C14" s="80">
        <v>15</v>
      </c>
      <c r="D14" s="77">
        <v>0</v>
      </c>
      <c r="E14" s="32">
        <v>0</v>
      </c>
      <c r="F14" s="24">
        <f t="shared" si="0"/>
        <v>15</v>
      </c>
      <c r="G14" s="76">
        <f t="shared" si="1"/>
        <v>2</v>
      </c>
      <c r="U14" s="34"/>
      <c r="V14" s="34"/>
      <c r="W14" s="34"/>
      <c r="X14" s="34"/>
      <c r="Y14" s="34"/>
      <c r="Z14" s="34"/>
      <c r="AA14" s="34"/>
      <c r="AB14" s="34"/>
      <c r="AC14" s="34"/>
    </row>
    <row r="15" spans="2:29" s="1" customFormat="1" x14ac:dyDescent="0.25">
      <c r="B15" s="83" t="s">
        <v>30</v>
      </c>
      <c r="C15" s="80">
        <v>15</v>
      </c>
      <c r="D15" s="77">
        <v>0</v>
      </c>
      <c r="E15" s="32">
        <v>0</v>
      </c>
      <c r="F15" s="24">
        <f t="shared" si="0"/>
        <v>15</v>
      </c>
      <c r="G15" s="76">
        <f t="shared" si="1"/>
        <v>2</v>
      </c>
      <c r="R15" s="34"/>
      <c r="S15" s="34"/>
      <c r="T15" s="34"/>
      <c r="U15" s="34"/>
      <c r="V15" s="34"/>
      <c r="W15" s="34"/>
      <c r="X15" s="34"/>
      <c r="Y15" s="34"/>
      <c r="Z15" s="34"/>
      <c r="AA15" s="34"/>
      <c r="AB15" s="34"/>
      <c r="AC15" s="34"/>
    </row>
    <row r="16" spans="2:29" s="1" customFormat="1" x14ac:dyDescent="0.25">
      <c r="B16" s="7"/>
      <c r="C16" s="7"/>
      <c r="D16" s="7"/>
      <c r="E16" s="7"/>
      <c r="F16" s="7"/>
      <c r="G16" s="7"/>
      <c r="H16" s="7"/>
      <c r="I16" s="7"/>
      <c r="J16" s="7"/>
      <c r="K16" s="7"/>
      <c r="L16" s="7"/>
      <c r="M16" s="7"/>
      <c r="N16" s="7"/>
      <c r="O16" s="7"/>
      <c r="P16" s="7"/>
      <c r="Q16" s="7"/>
      <c r="R16" s="34"/>
      <c r="S16" s="34"/>
      <c r="T16" s="34"/>
      <c r="U16" s="34"/>
      <c r="V16" s="34"/>
      <c r="W16" s="34"/>
      <c r="X16" s="34"/>
      <c r="Y16" s="34"/>
      <c r="Z16" s="34"/>
      <c r="AA16" s="34"/>
      <c r="AB16" s="34"/>
      <c r="AC16" s="34"/>
    </row>
    <row r="17" spans="1:29" s="1" customFormat="1" x14ac:dyDescent="0.25">
      <c r="B17" s="7" t="s">
        <v>916</v>
      </c>
      <c r="C17" s="7"/>
      <c r="D17" s="7"/>
      <c r="E17" s="7"/>
      <c r="F17" s="7"/>
      <c r="G17" s="7"/>
      <c r="H17" s="7"/>
      <c r="I17" s="7"/>
      <c r="J17" s="7"/>
      <c r="K17" s="7"/>
      <c r="L17" s="7"/>
      <c r="M17" s="7"/>
      <c r="N17" s="7"/>
      <c r="O17" s="7"/>
      <c r="P17" s="7"/>
      <c r="Q17" s="7"/>
      <c r="R17" s="34"/>
      <c r="S17" s="34"/>
      <c r="T17" s="34"/>
      <c r="U17" s="34"/>
      <c r="V17" s="34"/>
      <c r="W17" s="34"/>
      <c r="X17" s="34"/>
      <c r="Y17" s="34"/>
      <c r="Z17" s="34"/>
      <c r="AA17" s="34"/>
      <c r="AB17" s="34"/>
      <c r="AC17" s="34"/>
    </row>
    <row r="18" spans="1:29" s="1" customFormat="1" x14ac:dyDescent="0.25">
      <c r="A18" s="7"/>
      <c r="B18" s="85" t="s">
        <v>74</v>
      </c>
      <c r="C18" s="85"/>
      <c r="D18" s="27">
        <f>(G11+J18)</f>
        <v>3</v>
      </c>
      <c r="E18" s="85" t="s">
        <v>70</v>
      </c>
      <c r="F18" s="85"/>
      <c r="G18" s="27">
        <f>IF(G11&gt;G26,G26,G11)</f>
        <v>3</v>
      </c>
      <c r="H18" s="85" t="s">
        <v>39</v>
      </c>
      <c r="I18" s="85"/>
      <c r="J18" s="203"/>
      <c r="K18" s="7"/>
      <c r="L18" s="7"/>
      <c r="M18" s="7"/>
      <c r="N18" s="7"/>
      <c r="O18" s="7"/>
      <c r="P18" s="7"/>
      <c r="Q18" s="7"/>
      <c r="R18" s="34"/>
      <c r="S18" s="34"/>
      <c r="T18" s="34"/>
      <c r="U18" s="34"/>
      <c r="V18" s="34"/>
      <c r="W18" s="34"/>
      <c r="X18" s="34"/>
      <c r="Y18" s="34"/>
      <c r="Z18" s="34"/>
      <c r="AA18" s="34"/>
      <c r="AB18" s="34"/>
      <c r="AC18" s="34"/>
    </row>
    <row r="19" spans="1:29" s="1" customFormat="1" x14ac:dyDescent="0.25">
      <c r="A19" s="7"/>
      <c r="B19" s="7"/>
      <c r="C19" s="7"/>
      <c r="D19" s="7"/>
      <c r="E19" s="7"/>
      <c r="F19" s="7"/>
      <c r="G19" s="7"/>
      <c r="H19" s="7"/>
      <c r="I19" s="7"/>
      <c r="J19" s="7"/>
      <c r="K19" s="7"/>
      <c r="L19" s="7"/>
      <c r="M19" s="7"/>
      <c r="N19" s="7"/>
      <c r="O19" s="7"/>
      <c r="P19" s="7"/>
      <c r="Q19" s="7"/>
      <c r="R19" s="34"/>
      <c r="S19" s="34"/>
      <c r="T19" s="34"/>
      <c r="U19" s="34"/>
      <c r="V19" s="34"/>
      <c r="W19" s="34"/>
      <c r="X19" s="34"/>
      <c r="Y19" s="34"/>
      <c r="Z19" s="34"/>
      <c r="AA19" s="34"/>
      <c r="AB19" s="34"/>
      <c r="AC19" s="34"/>
    </row>
    <row r="20" spans="1:29" s="1" customFormat="1" x14ac:dyDescent="0.25">
      <c r="A20" s="7"/>
      <c r="B20" s="131" t="s">
        <v>75</v>
      </c>
      <c r="C20" s="133"/>
      <c r="D20" s="29">
        <f>(G20+J20+M20+P20)</f>
        <v>8</v>
      </c>
      <c r="E20" s="131" t="s">
        <v>71</v>
      </c>
      <c r="F20" s="133"/>
      <c r="G20" s="27">
        <v>3</v>
      </c>
      <c r="H20" s="131" t="s">
        <v>36</v>
      </c>
      <c r="I20" s="133"/>
      <c r="J20" s="29">
        <f>G11</f>
        <v>3</v>
      </c>
      <c r="K20" s="131" t="s">
        <v>73</v>
      </c>
      <c r="L20" s="133"/>
      <c r="M20" s="29">
        <f>VLOOKUP(D5,SizeTable,2,FALSE)</f>
        <v>2</v>
      </c>
      <c r="N20" s="131" t="s">
        <v>39</v>
      </c>
      <c r="O20" s="133"/>
      <c r="P20" s="27"/>
      <c r="Q20" s="7"/>
      <c r="R20" s="34"/>
      <c r="S20" s="34"/>
      <c r="T20" s="34"/>
      <c r="U20" s="34"/>
      <c r="V20" s="34"/>
      <c r="W20" s="34"/>
      <c r="X20" s="34"/>
      <c r="Y20" s="34"/>
      <c r="Z20" s="34"/>
      <c r="AA20" s="34"/>
      <c r="AB20" s="34"/>
      <c r="AC20" s="34"/>
    </row>
    <row r="21" spans="1:29" s="1" customFormat="1" x14ac:dyDescent="0.25">
      <c r="A21" s="7"/>
      <c r="B21" s="131" t="s">
        <v>76</v>
      </c>
      <c r="C21" s="133"/>
      <c r="D21" s="29">
        <f>(G21+J21+M21+P21)</f>
        <v>6</v>
      </c>
      <c r="E21" s="131" t="s">
        <v>71</v>
      </c>
      <c r="F21" s="133"/>
      <c r="G21" s="29">
        <f>G20</f>
        <v>3</v>
      </c>
      <c r="H21" s="131" t="s">
        <v>36</v>
      </c>
      <c r="I21" s="133"/>
      <c r="J21" s="29">
        <f>IF(G11&gt;G26,G26,G11)</f>
        <v>3</v>
      </c>
      <c r="K21" s="131" t="s">
        <v>73</v>
      </c>
      <c r="L21" s="133"/>
      <c r="M21" s="29">
        <f>VLOOKUP(D5,SizeTable,2,FALSE)</f>
        <v>2</v>
      </c>
      <c r="N21" s="131" t="s">
        <v>39</v>
      </c>
      <c r="O21" s="133"/>
      <c r="P21" s="27">
        <v>-2</v>
      </c>
      <c r="Q21" s="7"/>
      <c r="R21" s="34"/>
      <c r="S21" s="34"/>
      <c r="T21" s="34"/>
      <c r="U21" s="34"/>
      <c r="V21" s="34"/>
      <c r="W21" s="34"/>
      <c r="X21" s="34"/>
      <c r="Y21" s="34"/>
      <c r="Z21" s="34"/>
      <c r="AA21" s="34"/>
      <c r="AB21" s="34"/>
      <c r="AC21" s="34"/>
    </row>
    <row r="22" spans="1:29" s="1" customFormat="1" x14ac:dyDescent="0.25">
      <c r="A22" s="7"/>
      <c r="B22" s="131" t="s">
        <v>77</v>
      </c>
      <c r="C22" s="133"/>
      <c r="D22" s="29">
        <f>(G22+J22+M22+P22)</f>
        <v>-6</v>
      </c>
      <c r="E22" s="131" t="s">
        <v>71</v>
      </c>
      <c r="F22" s="133"/>
      <c r="G22" s="29">
        <f>G21</f>
        <v>3</v>
      </c>
      <c r="H22" s="131" t="s">
        <v>72</v>
      </c>
      <c r="I22" s="133"/>
      <c r="J22" s="29">
        <f>G10</f>
        <v>-1</v>
      </c>
      <c r="K22" s="131" t="s">
        <v>73</v>
      </c>
      <c r="L22" s="133"/>
      <c r="M22" s="29">
        <f>LOOKUP(VLOOKUP(D5,SizeTable,2,FALSE), {-8,-4,-2,-1,0,1,2,4,8},{16,12,8,4,0,-4,-8,-12,-16})</f>
        <v>-8</v>
      </c>
      <c r="N22" s="131" t="s">
        <v>39</v>
      </c>
      <c r="O22" s="133"/>
      <c r="P22" s="27"/>
      <c r="Q22" s="7"/>
      <c r="R22" s="34"/>
      <c r="S22" s="34"/>
      <c r="T22" s="34"/>
      <c r="U22" s="34"/>
      <c r="V22" s="34"/>
      <c r="W22" s="34"/>
      <c r="X22" s="34"/>
      <c r="Y22" s="34"/>
      <c r="Z22" s="34"/>
      <c r="AA22" s="34"/>
      <c r="AB22" s="34"/>
      <c r="AC22" s="34"/>
    </row>
    <row r="23" spans="1:29" s="1" customFormat="1" x14ac:dyDescent="0.25">
      <c r="A23" s="7"/>
      <c r="B23" s="7"/>
      <c r="C23" s="7"/>
      <c r="D23" s="7"/>
      <c r="E23" s="7"/>
      <c r="F23" s="7"/>
      <c r="G23" s="7"/>
      <c r="H23" s="7"/>
      <c r="I23" s="7"/>
      <c r="J23" s="7"/>
      <c r="K23" s="7"/>
      <c r="L23" s="7"/>
      <c r="M23" s="7"/>
      <c r="N23" s="7"/>
      <c r="O23" s="7"/>
      <c r="P23" s="7"/>
      <c r="Q23" s="7"/>
      <c r="R23" s="34"/>
      <c r="S23" s="34"/>
      <c r="T23" s="34"/>
      <c r="U23" s="34"/>
      <c r="V23" s="34"/>
      <c r="W23" s="34"/>
      <c r="X23" s="34"/>
      <c r="Y23" s="34"/>
      <c r="Z23" s="34"/>
      <c r="AA23" s="34"/>
      <c r="AB23" s="34"/>
      <c r="AC23" s="34"/>
    </row>
    <row r="24" spans="1:29" s="1" customFormat="1" x14ac:dyDescent="0.25">
      <c r="A24" s="7"/>
      <c r="B24" s="85" t="s">
        <v>10</v>
      </c>
      <c r="C24" s="85"/>
      <c r="D24" s="29">
        <f>(10+G24+J24+M24+P24+J25+M25+P25+M26)</f>
        <v>15</v>
      </c>
      <c r="E24" s="85" t="s">
        <v>78</v>
      </c>
      <c r="F24" s="85"/>
      <c r="G24" s="29">
        <v>0</v>
      </c>
      <c r="H24" s="85" t="s">
        <v>36</v>
      </c>
      <c r="I24" s="85"/>
      <c r="J24" s="29">
        <f>IF(G11&gt;G26,G26,G11)</f>
        <v>3</v>
      </c>
      <c r="K24" s="85" t="s">
        <v>73</v>
      </c>
      <c r="L24" s="85"/>
      <c r="M24" s="29">
        <f>VLOOKUP(D5,SizeTable,2,FALSE)</f>
        <v>2</v>
      </c>
      <c r="N24" s="85" t="s">
        <v>79</v>
      </c>
      <c r="O24" s="85"/>
      <c r="P24" s="27">
        <v>0</v>
      </c>
      <c r="Q24" s="7"/>
      <c r="R24" s="34"/>
      <c r="S24" s="34"/>
      <c r="T24" s="34"/>
      <c r="U24" s="34"/>
      <c r="V24" s="34"/>
      <c r="W24" s="34"/>
      <c r="X24" s="34"/>
      <c r="Y24" s="34"/>
      <c r="Z24" s="34"/>
      <c r="AA24" s="34"/>
      <c r="AB24" s="34"/>
      <c r="AC24" s="34"/>
    </row>
    <row r="25" spans="1:29" s="1" customFormat="1" x14ac:dyDescent="0.25">
      <c r="A25" s="7"/>
      <c r="B25" s="131" t="s">
        <v>82</v>
      </c>
      <c r="C25" s="133"/>
      <c r="D25" s="29">
        <f>(10+J24+M24+J25+P25+M26)</f>
        <v>15</v>
      </c>
      <c r="E25" s="94" t="s">
        <v>177</v>
      </c>
      <c r="F25" s="96"/>
      <c r="G25" s="29">
        <f>(10+G24+M24+P24+J25+M25+P25)</f>
        <v>12</v>
      </c>
      <c r="H25" s="149" t="s">
        <v>81</v>
      </c>
      <c r="I25" s="150"/>
      <c r="J25" s="27">
        <v>0</v>
      </c>
      <c r="K25" s="85" t="s">
        <v>80</v>
      </c>
      <c r="L25" s="85"/>
      <c r="M25" s="27">
        <v>0</v>
      </c>
      <c r="N25" s="85" t="s">
        <v>39</v>
      </c>
      <c r="O25" s="85"/>
      <c r="P25" s="27">
        <v>0</v>
      </c>
      <c r="Q25" s="7"/>
      <c r="R25" s="34"/>
      <c r="S25" s="34"/>
      <c r="T25" s="34"/>
      <c r="U25" s="34"/>
      <c r="V25" s="34"/>
      <c r="W25" s="34"/>
      <c r="X25" s="34"/>
      <c r="Y25" s="34"/>
      <c r="Z25" s="34"/>
      <c r="AA25" s="34"/>
      <c r="AB25" s="34"/>
      <c r="AC25" s="34"/>
    </row>
    <row r="26" spans="1:29" s="1" customFormat="1" x14ac:dyDescent="0.25">
      <c r="A26" s="7"/>
      <c r="B26" s="189" t="s">
        <v>14</v>
      </c>
      <c r="C26" s="189"/>
      <c r="D26" s="79" t="e">
        <f>IF((SUM(#REF!)+SUM(#REF!))&gt;R10,R10,(SUM(#REF!)+SUM(#REF!)))</f>
        <v>#REF!</v>
      </c>
      <c r="E26" s="131" t="s">
        <v>15</v>
      </c>
      <c r="F26" s="133"/>
      <c r="G26" s="29" t="s">
        <v>1</v>
      </c>
      <c r="H26" s="149" t="s">
        <v>16</v>
      </c>
      <c r="I26" s="150"/>
      <c r="J26" s="30">
        <v>0</v>
      </c>
      <c r="K26" s="131" t="s">
        <v>84</v>
      </c>
      <c r="L26" s="133"/>
      <c r="M26" s="27">
        <v>0</v>
      </c>
      <c r="N26" s="7"/>
      <c r="O26" s="7"/>
      <c r="P26" s="7"/>
      <c r="Q26" s="7"/>
      <c r="R26" s="34"/>
      <c r="S26" s="34"/>
      <c r="T26" s="34"/>
      <c r="U26" s="34"/>
      <c r="V26" s="34"/>
      <c r="W26" s="34"/>
      <c r="X26" s="34"/>
      <c r="Y26" s="34"/>
      <c r="Z26" s="34"/>
      <c r="AA26" s="34"/>
      <c r="AB26" s="34"/>
      <c r="AC26" s="34"/>
    </row>
    <row r="27" spans="1:29" s="1" customFormat="1" x14ac:dyDescent="0.25">
      <c r="A27" s="7"/>
      <c r="B27" s="105" t="s">
        <v>243</v>
      </c>
      <c r="C27" s="107"/>
      <c r="D27" s="207"/>
      <c r="E27" s="208"/>
      <c r="F27" s="208"/>
      <c r="G27" s="208"/>
      <c r="H27" s="208"/>
      <c r="I27" s="208"/>
      <c r="J27" s="208"/>
      <c r="K27" s="208"/>
      <c r="L27" s="208"/>
      <c r="M27" s="208"/>
      <c r="N27" s="208"/>
      <c r="O27" s="208"/>
      <c r="P27" s="209"/>
      <c r="Q27" s="7"/>
      <c r="R27" s="34"/>
      <c r="S27" s="34"/>
      <c r="T27" s="34"/>
      <c r="U27" s="34"/>
      <c r="V27" s="34"/>
      <c r="W27" s="34"/>
      <c r="X27" s="34"/>
      <c r="Y27" s="34"/>
      <c r="Z27" s="34"/>
      <c r="AA27" s="34"/>
      <c r="AB27" s="34"/>
      <c r="AC27" s="34"/>
    </row>
    <row r="28" spans="1:29" s="1" customFormat="1" x14ac:dyDescent="0.25">
      <c r="A28" s="7"/>
      <c r="B28" s="7"/>
      <c r="C28" s="7"/>
      <c r="D28" s="7"/>
      <c r="E28" s="7"/>
      <c r="F28" s="7"/>
      <c r="G28" s="7"/>
      <c r="H28" s="7"/>
      <c r="I28" s="7"/>
      <c r="J28" s="7"/>
      <c r="K28" s="7"/>
      <c r="L28" s="7"/>
      <c r="M28" s="7"/>
      <c r="N28" s="7"/>
      <c r="O28" s="7"/>
      <c r="P28" s="7"/>
      <c r="Q28" s="7"/>
      <c r="R28" s="34"/>
      <c r="S28" s="34"/>
      <c r="T28" s="34"/>
      <c r="U28" s="34"/>
      <c r="V28" s="34"/>
      <c r="W28" s="34"/>
      <c r="X28" s="34"/>
      <c r="Y28" s="34"/>
      <c r="Z28" s="34"/>
      <c r="AA28" s="34"/>
      <c r="AB28" s="34"/>
      <c r="AC28" s="34"/>
    </row>
    <row r="29" spans="1:29" s="1" customFormat="1" x14ac:dyDescent="0.25">
      <c r="A29" s="7"/>
      <c r="B29" s="85" t="s">
        <v>85</v>
      </c>
      <c r="C29" s="85"/>
      <c r="D29" s="97" t="s">
        <v>917</v>
      </c>
      <c r="E29" s="148"/>
      <c r="F29" s="98"/>
      <c r="G29" s="85" t="s">
        <v>86</v>
      </c>
      <c r="H29" s="85"/>
      <c r="I29" s="27">
        <f>D20</f>
        <v>8</v>
      </c>
      <c r="J29" s="82" t="s">
        <v>87</v>
      </c>
      <c r="K29" s="27" t="str">
        <f>"1d3"&amp;G10</f>
        <v>1d3-1</v>
      </c>
      <c r="L29" s="82" t="s">
        <v>88</v>
      </c>
      <c r="M29" s="27" t="s">
        <v>918</v>
      </c>
      <c r="N29" s="7"/>
      <c r="O29" s="7"/>
      <c r="P29" s="7"/>
      <c r="Q29" s="7"/>
      <c r="R29" s="34"/>
      <c r="S29" s="34"/>
      <c r="T29" s="34"/>
      <c r="U29" s="34"/>
      <c r="V29" s="34"/>
      <c r="W29" s="34"/>
      <c r="X29" s="34"/>
      <c r="Y29" s="34"/>
      <c r="Z29" s="34"/>
      <c r="AA29" s="34"/>
      <c r="AB29" s="34"/>
      <c r="AC29" s="34"/>
    </row>
    <row r="30" spans="1:29" s="1" customFormat="1" x14ac:dyDescent="0.25">
      <c r="A30" s="7"/>
      <c r="B30" s="85" t="s">
        <v>90</v>
      </c>
      <c r="C30" s="85"/>
      <c r="D30" s="97" t="s">
        <v>919</v>
      </c>
      <c r="E30" s="148"/>
      <c r="F30" s="98"/>
      <c r="G30" s="85" t="s">
        <v>86</v>
      </c>
      <c r="H30" s="85"/>
      <c r="I30" s="27">
        <f>D21</f>
        <v>6</v>
      </c>
      <c r="J30" s="82" t="s">
        <v>87</v>
      </c>
      <c r="K30" s="27" t="s">
        <v>1</v>
      </c>
      <c r="L30" s="82" t="s">
        <v>88</v>
      </c>
      <c r="M30" s="27" t="s">
        <v>1</v>
      </c>
      <c r="N30" s="85" t="s">
        <v>89</v>
      </c>
      <c r="O30" s="85"/>
      <c r="P30" s="27" t="s">
        <v>920</v>
      </c>
      <c r="Q30" s="7"/>
      <c r="R30" s="34"/>
      <c r="S30" s="34"/>
      <c r="T30" s="34"/>
      <c r="U30" s="34"/>
      <c r="V30" s="34"/>
      <c r="W30" s="34"/>
      <c r="X30" s="34"/>
      <c r="Y30" s="34"/>
      <c r="Z30" s="34"/>
      <c r="AA30" s="34"/>
      <c r="AB30" s="34"/>
      <c r="AC30" s="34"/>
    </row>
    <row r="31" spans="1:29" s="1" customFormat="1" x14ac:dyDescent="0.25">
      <c r="B31" s="7"/>
      <c r="C31" s="7"/>
      <c r="D31" s="7"/>
      <c r="E31" s="7"/>
      <c r="F31" s="7"/>
      <c r="G31" s="7"/>
      <c r="H31" s="7"/>
      <c r="I31" s="7"/>
      <c r="J31" s="7"/>
      <c r="K31" s="7"/>
      <c r="L31" s="7"/>
      <c r="M31" s="7"/>
      <c r="N31" s="7"/>
      <c r="O31" s="7"/>
      <c r="P31" s="7"/>
      <c r="Q31" s="7"/>
      <c r="R31" s="34"/>
      <c r="S31" s="34"/>
      <c r="T31" s="34"/>
      <c r="U31" s="34"/>
      <c r="V31" s="34"/>
      <c r="W31" s="34"/>
      <c r="X31" s="34"/>
      <c r="Y31" s="34"/>
      <c r="Z31" s="34"/>
      <c r="AA31" s="34"/>
      <c r="AB31" s="34"/>
      <c r="AC31" s="34"/>
    </row>
    <row r="32" spans="1:29" s="1" customFormat="1" x14ac:dyDescent="0.25">
      <c r="B32" s="7" t="s">
        <v>921</v>
      </c>
      <c r="C32" s="7"/>
      <c r="D32" s="7"/>
      <c r="E32" s="7"/>
      <c r="F32" s="7"/>
      <c r="G32" s="7"/>
      <c r="H32" s="7"/>
      <c r="I32" s="7"/>
      <c r="J32" s="7"/>
      <c r="K32" s="7"/>
      <c r="L32" s="7"/>
      <c r="M32" s="7"/>
      <c r="N32" s="7"/>
      <c r="O32" s="7"/>
      <c r="P32" s="7"/>
      <c r="Q32" s="7"/>
      <c r="R32" s="7"/>
      <c r="S32" s="7"/>
      <c r="T32" s="7"/>
      <c r="U32" s="34"/>
      <c r="V32" s="34"/>
      <c r="W32" s="34"/>
      <c r="X32" s="34"/>
      <c r="Y32" s="34"/>
      <c r="Z32" s="34"/>
      <c r="AA32" s="34"/>
      <c r="AB32" s="34"/>
      <c r="AC32" s="34"/>
    </row>
    <row r="33" spans="2:29" s="7" customFormat="1" x14ac:dyDescent="0.25">
      <c r="B33" s="111" t="s">
        <v>62</v>
      </c>
      <c r="C33" s="111"/>
      <c r="D33" s="111"/>
      <c r="E33" s="111" t="s">
        <v>63</v>
      </c>
      <c r="F33" s="111"/>
      <c r="G33" s="111"/>
      <c r="H33" s="111" t="s">
        <v>64</v>
      </c>
      <c r="I33" s="111"/>
      <c r="J33" s="111"/>
      <c r="K33" s="111" t="s">
        <v>65</v>
      </c>
      <c r="L33" s="111"/>
      <c r="M33" s="111" t="s">
        <v>60</v>
      </c>
      <c r="N33" s="111"/>
      <c r="O33" s="111"/>
      <c r="P33" s="111" t="s">
        <v>61</v>
      </c>
      <c r="Q33" s="111"/>
      <c r="U33" s="34"/>
      <c r="V33" s="34"/>
      <c r="W33" s="34"/>
      <c r="X33" s="34"/>
      <c r="Y33" s="34"/>
      <c r="Z33" s="34"/>
      <c r="AA33" s="34"/>
      <c r="AB33" s="34"/>
      <c r="AC33" s="34"/>
    </row>
    <row r="34" spans="2:29" s="1" customFormat="1" x14ac:dyDescent="0.25">
      <c r="B34" s="154">
        <f>LOOKUP(F10, {1,2,3,4,5,6,7,8,9,10,11,12,13,14,15,16,17,18,19,20,21,22,23,24,25,26,27,28,29,30,31,32,33,34,35,36,37,38,39,40}, {3,6,10,13,16,20,23,26,30,33,38,43,50,58,66,76,86,100,116,133,153,173,200,233,266,306,346,400,466,532,612,692,800,932,1064,1224,1384,1600,1864,2128})</f>
        <v>30</v>
      </c>
      <c r="C34" s="154"/>
      <c r="D34" s="154"/>
      <c r="E34" s="154">
        <f>LOOKUP(F10, {1,2,3,4,5,6,7,8,9,10,11,12,13,14,15,16,17,18,19,20,21,22,23,24,25,26,27,28,29,30,31,32,33,34,35,36,37,38,39,40}, {6,13,20,26,33,40,46,53,60,66,76,86,100,116,133,153,173,200,233,266,306,346,400,466,533,613,693,800,933,1064,1224,1384,1600,1864,2132,2452,2772,3200,3732,4256})</f>
        <v>60</v>
      </c>
      <c r="F34" s="154"/>
      <c r="G34" s="154"/>
      <c r="H34" s="154">
        <f>LOOKUP(F10, {1,2,3,4,5,6,7,8,9,10,11,12,13,14,15,16,17,18,19,20,21,22,23,24,25,26,27,28,29,30,31,32,33,34,35,36,37,38,39,40}, {10,20,30,40,50,60,70,80,90,100,115,130,150,175,200,230,260,300,350,400,460,520,600,700,800,920,1040,1200,1400,1600,1840,2080,2400,2800,3200,3680,4160,4800,5600,6400})</f>
        <v>90</v>
      </c>
      <c r="I34" s="154"/>
      <c r="J34" s="154"/>
      <c r="K34" s="154">
        <v>0</v>
      </c>
      <c r="L34" s="154"/>
      <c r="M34" s="188">
        <v>20</v>
      </c>
      <c r="N34" s="188"/>
      <c r="O34" s="188"/>
      <c r="P34" s="154">
        <f>IF(M34&gt;=30,M34-(IF(B34&gt;=K34,0,10)),M34-(IF(B34&gt;=K34,0,5)))</f>
        <v>20</v>
      </c>
      <c r="Q34" s="154"/>
      <c r="R34" s="17">
        <f>IF(AND(K34&gt;B34,K34&lt;=E34),-3,IF(AND(K34&gt;E34,K34&lt;=H34),-6,0))</f>
        <v>0</v>
      </c>
      <c r="U34" s="34"/>
      <c r="V34" s="34"/>
      <c r="W34" s="34"/>
      <c r="X34" s="34"/>
      <c r="Y34" s="34"/>
      <c r="Z34" s="34"/>
      <c r="AA34" s="34"/>
      <c r="AB34" s="34"/>
      <c r="AC34" s="34"/>
    </row>
    <row r="35" spans="2:29" s="1" customFormat="1" x14ac:dyDescent="0.25">
      <c r="B35" s="7"/>
      <c r="C35" s="7"/>
      <c r="D35" s="7"/>
      <c r="E35" s="7"/>
      <c r="F35" s="7"/>
      <c r="G35" s="7"/>
      <c r="H35" s="7"/>
      <c r="I35" s="7"/>
      <c r="J35" s="7"/>
      <c r="K35" s="7"/>
      <c r="L35" s="7"/>
      <c r="M35" s="7"/>
      <c r="N35" s="7"/>
      <c r="O35" s="7"/>
      <c r="P35" s="7"/>
      <c r="Q35" s="7"/>
      <c r="R35" s="7"/>
      <c r="S35" s="7"/>
      <c r="T35" s="7"/>
      <c r="U35" s="34"/>
      <c r="V35" s="34"/>
      <c r="W35" s="34"/>
      <c r="X35" s="34"/>
      <c r="Y35" s="34"/>
      <c r="Z35" s="34"/>
      <c r="AA35" s="34"/>
      <c r="AB35" s="34"/>
      <c r="AC35" s="34"/>
    </row>
    <row r="36" spans="2:29" s="1" customFormat="1" x14ac:dyDescent="0.25">
      <c r="B36" s="7" t="s">
        <v>922</v>
      </c>
      <c r="C36" s="7"/>
      <c r="D36" s="7"/>
      <c r="E36" s="7"/>
      <c r="F36" s="7"/>
      <c r="G36" s="7"/>
      <c r="H36" s="7"/>
      <c r="I36" s="7"/>
      <c r="J36" s="7"/>
      <c r="K36" s="7"/>
      <c r="L36" s="7"/>
      <c r="M36" s="7"/>
      <c r="N36" s="7"/>
      <c r="O36" s="7"/>
      <c r="P36" s="7"/>
      <c r="Q36" s="7"/>
      <c r="R36" s="7"/>
      <c r="S36" s="7"/>
      <c r="T36" s="7"/>
      <c r="U36" s="34"/>
      <c r="V36" s="34"/>
      <c r="W36" s="34"/>
      <c r="X36" s="34"/>
      <c r="Y36" s="34"/>
      <c r="Z36" s="34"/>
      <c r="AA36" s="34"/>
      <c r="AB36" s="34"/>
      <c r="AC36" s="34"/>
    </row>
    <row r="37" spans="2:29" s="7" customFormat="1" x14ac:dyDescent="0.25">
      <c r="B37" s="111" t="s">
        <v>62</v>
      </c>
      <c r="C37" s="111"/>
      <c r="D37" s="111"/>
      <c r="E37" s="111" t="s">
        <v>63</v>
      </c>
      <c r="F37" s="111"/>
      <c r="G37" s="111"/>
      <c r="H37" s="111" t="s">
        <v>64</v>
      </c>
      <c r="I37" s="111"/>
      <c r="J37" s="111"/>
      <c r="K37" s="111" t="s">
        <v>65</v>
      </c>
      <c r="L37" s="111"/>
      <c r="M37" s="111" t="s">
        <v>60</v>
      </c>
      <c r="N37" s="111"/>
      <c r="O37" s="111"/>
      <c r="P37" s="111" t="s">
        <v>61</v>
      </c>
      <c r="Q37" s="111"/>
      <c r="U37" s="34"/>
      <c r="V37" s="34"/>
      <c r="W37" s="34"/>
      <c r="X37" s="34"/>
      <c r="Y37" s="34"/>
      <c r="Z37" s="34"/>
      <c r="AA37" s="34"/>
      <c r="AB37" s="34"/>
      <c r="AC37" s="34"/>
    </row>
    <row r="38" spans="2:29" s="1" customFormat="1" x14ac:dyDescent="0.25">
      <c r="B38" s="154">
        <f>LOOKUP(F10, {1,2,3,4,5,6,7,8,9,10,11,12,13,14,15,16,17,18,19,20,21,22,23,24,25,26,27,28,29,30,31,32,33,34,35,36,37,38,39,40}, {3,6,10,13,16,20,23,26,30,33,38,43,50,58,66,76,86,100,116,133,153,173,200,233,266,306,346,400,466,532,612,692,800,932,1064,1224,1384,1600,1864,2128})</f>
        <v>30</v>
      </c>
      <c r="C38" s="154"/>
      <c r="D38" s="154"/>
      <c r="E38" s="154">
        <f>LOOKUP(F10, {1,2,3,4,5,6,7,8,9,10,11,12,13,14,15,16,17,18,19,20,21,22,23,24,25,26,27,28,29,30,31,32,33,34,35,36,37,38,39,40}, {6,13,20,26,33,40,46,53,60,66,76,86,100,116,133,153,173,200,233,266,306,346,400,466,533,613,693,800,933,1064,1224,1384,1600,1864,2132,2452,2772,3200,3732,4256})</f>
        <v>60</v>
      </c>
      <c r="F38" s="154"/>
      <c r="G38" s="154"/>
      <c r="H38" s="154">
        <f>LOOKUP(F10, {1,2,3,4,5,6,7,8,9,10,11,12,13,14,15,16,17,18,19,20,21,22,23,24,25,26,27,28,29,30,31,32,33,34,35,36,37,38,39,40}, {10,20,30,40,50,60,70,80,90,100,115,130,150,175,200,230,260,300,350,400,460,520,600,700,800,920,1040,1200,1400,1600,1840,2080,2400,2800,3200,3680,4160,4800,5600,6400})</f>
        <v>90</v>
      </c>
      <c r="I38" s="154"/>
      <c r="J38" s="154"/>
      <c r="K38" s="154">
        <v>0</v>
      </c>
      <c r="L38" s="154"/>
      <c r="M38" s="188">
        <v>10</v>
      </c>
      <c r="N38" s="188"/>
      <c r="O38" s="188"/>
      <c r="P38" s="154">
        <f>IF(M38&gt;=30,M38-(IF(B38&gt;=K38,0,10)),M38-(IF(B38&gt;=K38,0,5)))</f>
        <v>10</v>
      </c>
      <c r="Q38" s="154"/>
      <c r="R38" s="17">
        <f>IF(AND(K38&gt;B38,K38&lt;=E38),-3,IF(AND(K38&gt;E38,K38&lt;=H38),-6,0))</f>
        <v>0</v>
      </c>
      <c r="U38" s="34"/>
      <c r="V38" s="34"/>
      <c r="W38" s="34"/>
      <c r="X38" s="34"/>
      <c r="Y38" s="34"/>
      <c r="Z38" s="34"/>
      <c r="AA38" s="34"/>
      <c r="AB38" s="34"/>
      <c r="AC38" s="34"/>
    </row>
    <row r="39" spans="2:29" s="1" customFormat="1" x14ac:dyDescent="0.25">
      <c r="B39" s="7"/>
      <c r="C39" s="7"/>
      <c r="D39" s="7"/>
      <c r="E39" s="7"/>
      <c r="F39" s="7"/>
      <c r="G39" s="7"/>
      <c r="H39" s="7"/>
      <c r="I39" s="7"/>
      <c r="J39" s="7"/>
      <c r="K39" s="7"/>
      <c r="L39" s="7"/>
      <c r="M39" s="7"/>
      <c r="N39" s="7"/>
      <c r="O39" s="7"/>
      <c r="P39" s="7"/>
      <c r="Q39" s="7"/>
      <c r="R39" s="7"/>
      <c r="S39" s="7"/>
      <c r="T39" s="7"/>
      <c r="U39" s="34"/>
      <c r="V39" s="34"/>
      <c r="W39" s="34"/>
      <c r="X39" s="34"/>
      <c r="Y39" s="34"/>
      <c r="Z39" s="34"/>
      <c r="AA39" s="34"/>
      <c r="AB39" s="34"/>
      <c r="AC39" s="34"/>
    </row>
    <row r="40" spans="2:29" s="7" customFormat="1" x14ac:dyDescent="0.25">
      <c r="B40" s="7" t="s">
        <v>92</v>
      </c>
      <c r="U40" s="34"/>
      <c r="V40" s="34"/>
      <c r="W40" s="34"/>
      <c r="X40" s="34"/>
      <c r="Y40" s="34"/>
      <c r="Z40" s="34"/>
      <c r="AA40" s="34"/>
      <c r="AB40" s="34"/>
      <c r="AC40" s="34"/>
    </row>
    <row r="41" spans="2:29" s="7" customFormat="1" ht="15" customHeight="1" x14ac:dyDescent="0.25">
      <c r="B41" s="139" t="s">
        <v>22</v>
      </c>
      <c r="C41" s="140"/>
      <c r="D41" s="140"/>
      <c r="E41" s="141"/>
      <c r="F41" s="139" t="s">
        <v>93</v>
      </c>
      <c r="G41" s="140"/>
      <c r="H41" s="140"/>
      <c r="I41" s="140"/>
      <c r="J41" s="140"/>
      <c r="K41" s="140"/>
      <c r="L41" s="140"/>
      <c r="M41" s="140"/>
      <c r="N41" s="140"/>
      <c r="O41" s="140"/>
      <c r="P41" s="141"/>
      <c r="Q41" s="139" t="s">
        <v>42</v>
      </c>
      <c r="R41" s="140"/>
      <c r="S41" s="141"/>
      <c r="U41" s="34"/>
      <c r="V41" s="34"/>
      <c r="W41" s="34"/>
      <c r="X41" s="34"/>
      <c r="Y41" s="34"/>
      <c r="Z41" s="34"/>
      <c r="AA41" s="34"/>
      <c r="AB41" s="34"/>
      <c r="AC41" s="34"/>
    </row>
    <row r="42" spans="2:29" s="7" customFormat="1" x14ac:dyDescent="0.25">
      <c r="B42" s="90" t="s">
        <v>923</v>
      </c>
      <c r="C42" s="91"/>
      <c r="D42" s="91"/>
      <c r="E42" s="92"/>
      <c r="F42" s="99" t="s">
        <v>924</v>
      </c>
      <c r="G42" s="91"/>
      <c r="H42" s="91"/>
      <c r="I42" s="91"/>
      <c r="J42" s="91"/>
      <c r="K42" s="91"/>
      <c r="L42" s="91"/>
      <c r="M42" s="91"/>
      <c r="N42" s="91"/>
      <c r="O42" s="91"/>
      <c r="P42" s="92"/>
      <c r="Q42" s="90" t="s">
        <v>925</v>
      </c>
      <c r="R42" s="91"/>
      <c r="S42" s="92"/>
      <c r="U42" s="34"/>
      <c r="V42" s="34"/>
      <c r="W42" s="34"/>
      <c r="X42" s="34"/>
      <c r="Y42" s="34"/>
      <c r="Z42" s="34"/>
      <c r="AA42" s="34"/>
      <c r="AB42" s="34"/>
      <c r="AC42" s="34"/>
    </row>
    <row r="43" spans="2:29" s="1" customFormat="1" x14ac:dyDescent="0.25">
      <c r="B43" s="7"/>
      <c r="C43" s="7"/>
      <c r="D43" s="7"/>
      <c r="E43" s="7"/>
      <c r="F43" s="7"/>
      <c r="G43" s="7"/>
      <c r="H43" s="7"/>
      <c r="I43" s="7"/>
      <c r="J43" s="7"/>
      <c r="K43" s="7"/>
      <c r="L43" s="7"/>
      <c r="M43" s="7"/>
      <c r="N43" s="7"/>
      <c r="O43" s="7"/>
      <c r="P43" s="7"/>
      <c r="Q43" s="7"/>
      <c r="R43" s="7"/>
      <c r="S43" s="7"/>
      <c r="T43" s="7"/>
      <c r="U43" s="34"/>
      <c r="V43" s="34"/>
      <c r="W43" s="34"/>
      <c r="X43" s="34"/>
      <c r="Y43" s="34"/>
      <c r="Z43" s="34"/>
      <c r="AA43" s="34"/>
      <c r="AB43" s="34"/>
      <c r="AC43" s="34"/>
    </row>
    <row r="44" spans="2:29" s="7" customFormat="1" ht="15" customHeight="1" x14ac:dyDescent="0.25">
      <c r="B44" s="7" t="s">
        <v>926</v>
      </c>
      <c r="U44" s="34"/>
      <c r="V44" s="34"/>
      <c r="W44" s="34"/>
      <c r="X44" s="34"/>
      <c r="Y44" s="34"/>
      <c r="Z44" s="34"/>
      <c r="AA44" s="34"/>
      <c r="AB44" s="34"/>
      <c r="AC44" s="34"/>
    </row>
    <row r="45" spans="2:29" s="7" customFormat="1" ht="15" customHeight="1" x14ac:dyDescent="0.25">
      <c r="B45" s="139" t="s">
        <v>22</v>
      </c>
      <c r="C45" s="140"/>
      <c r="D45" s="140"/>
      <c r="E45" s="141"/>
      <c r="F45" s="139" t="s">
        <v>93</v>
      </c>
      <c r="G45" s="140"/>
      <c r="H45" s="140"/>
      <c r="I45" s="140"/>
      <c r="J45" s="140"/>
      <c r="K45" s="140"/>
      <c r="L45" s="140"/>
      <c r="M45" s="140"/>
      <c r="N45" s="140"/>
      <c r="O45" s="140"/>
      <c r="P45" s="141"/>
      <c r="Q45" s="139" t="s">
        <v>42</v>
      </c>
      <c r="R45" s="140"/>
      <c r="S45" s="141"/>
      <c r="U45" s="34"/>
      <c r="V45" s="34"/>
      <c r="W45" s="34"/>
      <c r="X45" s="34"/>
      <c r="Y45" s="34"/>
      <c r="Z45" s="34"/>
      <c r="AA45" s="34"/>
      <c r="AB45" s="34"/>
      <c r="AC45" s="34"/>
    </row>
    <row r="46" spans="2:29" s="7" customFormat="1" x14ac:dyDescent="0.25">
      <c r="B46" s="90" t="s">
        <v>927</v>
      </c>
      <c r="C46" s="91"/>
      <c r="D46" s="91"/>
      <c r="E46" s="92"/>
      <c r="F46" s="99" t="s">
        <v>928</v>
      </c>
      <c r="G46" s="91"/>
      <c r="H46" s="91"/>
      <c r="I46" s="91"/>
      <c r="J46" s="91"/>
      <c r="K46" s="91"/>
      <c r="L46" s="91"/>
      <c r="M46" s="91"/>
      <c r="N46" s="91"/>
      <c r="O46" s="91"/>
      <c r="P46" s="92"/>
      <c r="Q46" s="90" t="s">
        <v>913</v>
      </c>
      <c r="R46" s="91"/>
      <c r="S46" s="92"/>
      <c r="U46" s="34"/>
      <c r="V46" s="34"/>
      <c r="W46" s="34"/>
      <c r="X46" s="34"/>
      <c r="Y46" s="34"/>
      <c r="Z46" s="34"/>
      <c r="AA46" s="34"/>
      <c r="AB46" s="34"/>
      <c r="AC46" s="34"/>
    </row>
    <row r="47" spans="2:29" s="7" customFormat="1" x14ac:dyDescent="0.25">
      <c r="B47" s="90" t="s">
        <v>919</v>
      </c>
      <c r="C47" s="91"/>
      <c r="D47" s="91"/>
      <c r="E47" s="92"/>
      <c r="F47" s="99" t="s">
        <v>929</v>
      </c>
      <c r="G47" s="91"/>
      <c r="H47" s="91"/>
      <c r="I47" s="91"/>
      <c r="J47" s="91"/>
      <c r="K47" s="91"/>
      <c r="L47" s="91"/>
      <c r="M47" s="91"/>
      <c r="N47" s="91"/>
      <c r="O47" s="91"/>
      <c r="P47" s="92"/>
      <c r="Q47" s="90" t="s">
        <v>913</v>
      </c>
      <c r="R47" s="91"/>
      <c r="S47" s="92"/>
      <c r="U47" s="34"/>
      <c r="V47" s="34"/>
      <c r="W47" s="34"/>
      <c r="X47" s="34"/>
      <c r="Y47" s="34"/>
      <c r="Z47" s="34"/>
      <c r="AA47" s="34"/>
      <c r="AB47" s="34"/>
      <c r="AC47" s="34"/>
    </row>
    <row r="48" spans="2:29" s="1" customFormat="1" x14ac:dyDescent="0.25">
      <c r="B48" s="7"/>
      <c r="C48" s="7"/>
      <c r="D48" s="7"/>
      <c r="E48" s="7"/>
      <c r="F48" s="7"/>
      <c r="G48" s="7"/>
      <c r="H48" s="7"/>
      <c r="I48" s="7"/>
      <c r="J48" s="7"/>
      <c r="K48" s="7"/>
      <c r="L48" s="7"/>
      <c r="M48" s="7"/>
      <c r="N48" s="7"/>
      <c r="O48" s="7"/>
      <c r="P48" s="7"/>
      <c r="Q48" s="7"/>
      <c r="R48" s="7"/>
      <c r="S48" s="7"/>
      <c r="T48" s="7"/>
      <c r="U48" s="34"/>
      <c r="V48" s="34"/>
      <c r="W48" s="34"/>
      <c r="X48" s="34"/>
      <c r="Y48" s="34"/>
      <c r="Z48" s="34"/>
      <c r="AA48" s="34"/>
      <c r="AB48" s="34"/>
      <c r="AC48" s="34"/>
    </row>
    <row r="49" spans="2:29" s="7" customFormat="1" ht="15" customHeight="1" x14ac:dyDescent="0.25">
      <c r="B49" s="7" t="s">
        <v>930</v>
      </c>
      <c r="U49" s="34"/>
      <c r="V49" s="34"/>
      <c r="W49" s="34"/>
      <c r="X49" s="34"/>
      <c r="Y49" s="34"/>
      <c r="Z49" s="34"/>
      <c r="AA49" s="34"/>
      <c r="AB49" s="34"/>
      <c r="AC49" s="34"/>
    </row>
    <row r="50" spans="2:29" s="7" customFormat="1" ht="15" customHeight="1" x14ac:dyDescent="0.25">
      <c r="B50" s="139" t="s">
        <v>22</v>
      </c>
      <c r="C50" s="140"/>
      <c r="D50" s="140"/>
      <c r="E50" s="141"/>
      <c r="F50" s="139" t="s">
        <v>93</v>
      </c>
      <c r="G50" s="140"/>
      <c r="H50" s="140"/>
      <c r="I50" s="140"/>
      <c r="J50" s="140"/>
      <c r="K50" s="140"/>
      <c r="L50" s="140"/>
      <c r="M50" s="140"/>
      <c r="N50" s="140"/>
      <c r="O50" s="140"/>
      <c r="P50" s="141"/>
      <c r="Q50" s="139" t="s">
        <v>42</v>
      </c>
      <c r="R50" s="140"/>
      <c r="S50" s="141"/>
      <c r="U50" s="34"/>
      <c r="V50" s="34"/>
      <c r="W50" s="34"/>
      <c r="X50" s="34"/>
      <c r="Y50" s="34"/>
      <c r="Z50" s="34"/>
      <c r="AA50" s="34"/>
      <c r="AB50" s="34"/>
      <c r="AC50" s="34"/>
    </row>
    <row r="51" spans="2:29" s="7" customFormat="1" x14ac:dyDescent="0.25">
      <c r="B51" s="90" t="s">
        <v>458</v>
      </c>
      <c r="C51" s="91"/>
      <c r="D51" s="91"/>
      <c r="E51" s="92"/>
      <c r="F51" s="99" t="s">
        <v>931</v>
      </c>
      <c r="G51" s="91"/>
      <c r="H51" s="91"/>
      <c r="I51" s="91"/>
      <c r="J51" s="91"/>
      <c r="K51" s="91"/>
      <c r="L51" s="91"/>
      <c r="M51" s="91"/>
      <c r="N51" s="91"/>
      <c r="O51" s="91"/>
      <c r="P51" s="92"/>
      <c r="Q51" s="90" t="s">
        <v>932</v>
      </c>
      <c r="R51" s="91"/>
      <c r="S51" s="92"/>
      <c r="U51" s="34"/>
      <c r="V51" s="34"/>
      <c r="W51" s="34"/>
      <c r="X51" s="34"/>
      <c r="Y51" s="34"/>
      <c r="Z51" s="34"/>
      <c r="AA51" s="34"/>
      <c r="AB51" s="34"/>
      <c r="AC51" s="34"/>
    </row>
    <row r="52" spans="2:29" s="1" customFormat="1" x14ac:dyDescent="0.25">
      <c r="B52" s="7"/>
      <c r="C52" s="7"/>
      <c r="D52" s="7"/>
      <c r="E52" s="7"/>
      <c r="F52" s="7"/>
      <c r="G52" s="7"/>
      <c r="H52" s="7"/>
      <c r="I52" s="7"/>
      <c r="J52" s="7"/>
      <c r="K52" s="7"/>
      <c r="L52" s="7"/>
      <c r="M52" s="7"/>
      <c r="N52" s="7"/>
      <c r="O52" s="7"/>
      <c r="P52" s="7"/>
      <c r="Q52" s="7"/>
      <c r="R52" s="7"/>
      <c r="S52" s="7"/>
      <c r="T52" s="7"/>
      <c r="U52" s="34"/>
      <c r="V52" s="34"/>
      <c r="W52" s="34"/>
      <c r="X52" s="34"/>
      <c r="Y52" s="34"/>
      <c r="Z52" s="34"/>
      <c r="AA52" s="34"/>
      <c r="AB52" s="34"/>
      <c r="AC52" s="34"/>
    </row>
    <row r="53" spans="2:29" s="5" customFormat="1" x14ac:dyDescent="0.25">
      <c r="B53" s="11"/>
      <c r="C53" s="11"/>
      <c r="D53" s="11"/>
      <c r="E53" s="11"/>
      <c r="F53" s="11"/>
      <c r="G53" s="11"/>
      <c r="H53" s="11"/>
      <c r="I53" s="11"/>
      <c r="J53" s="11"/>
      <c r="K53" s="11"/>
      <c r="L53" s="11"/>
      <c r="M53" s="11"/>
      <c r="N53" s="11"/>
      <c r="O53" s="11"/>
      <c r="P53" s="11"/>
      <c r="Q53" s="11"/>
      <c r="R53" s="11"/>
      <c r="S53" s="11"/>
      <c r="T53" s="11"/>
      <c r="U53" s="33"/>
      <c r="V53" s="33"/>
      <c r="W53" s="33"/>
      <c r="X53" s="33"/>
      <c r="Y53" s="33"/>
      <c r="Z53" s="33"/>
      <c r="AA53" s="33"/>
      <c r="AB53" s="33"/>
      <c r="AC53" s="33"/>
    </row>
    <row r="54" spans="2:29" s="1" customFormat="1" x14ac:dyDescent="0.25">
      <c r="B54" s="164" t="s">
        <v>5</v>
      </c>
      <c r="C54" s="164"/>
      <c r="D54" s="90" t="s">
        <v>933</v>
      </c>
      <c r="E54" s="91"/>
      <c r="F54" s="92"/>
      <c r="U54" s="34"/>
      <c r="V54" s="34"/>
      <c r="W54" s="34"/>
      <c r="X54" s="34"/>
      <c r="Y54" s="34"/>
      <c r="Z54" s="34"/>
      <c r="AA54" s="34"/>
      <c r="AB54" s="34"/>
      <c r="AC54" s="34"/>
    </row>
    <row r="55" spans="2:29" s="1" customFormat="1" x14ac:dyDescent="0.25">
      <c r="B55" s="164" t="s">
        <v>208</v>
      </c>
      <c r="C55" s="164"/>
      <c r="D55" s="90" t="s">
        <v>911</v>
      </c>
      <c r="E55" s="91"/>
      <c r="F55" s="92"/>
      <c r="U55" s="34"/>
      <c r="V55" s="34"/>
      <c r="W55" s="34"/>
      <c r="X55" s="34"/>
      <c r="Y55" s="34"/>
      <c r="Z55" s="34"/>
      <c r="AA55" s="34"/>
      <c r="AB55" s="34"/>
      <c r="AC55" s="34"/>
    </row>
    <row r="56" spans="2:29" s="1" customFormat="1" x14ac:dyDescent="0.25">
      <c r="B56" s="164" t="s">
        <v>17</v>
      </c>
      <c r="C56" s="164"/>
      <c r="D56" s="90" t="s">
        <v>195</v>
      </c>
      <c r="E56" s="91"/>
      <c r="F56" s="92"/>
      <c r="U56" s="34"/>
      <c r="V56" s="34"/>
      <c r="W56" s="34"/>
      <c r="X56" s="34"/>
      <c r="Y56" s="34"/>
      <c r="Z56" s="34"/>
      <c r="AA56" s="34"/>
      <c r="AB56" s="34"/>
      <c r="AC56" s="34"/>
    </row>
    <row r="57" spans="2:29" s="1" customFormat="1" x14ac:dyDescent="0.25">
      <c r="B57" s="164" t="s">
        <v>912</v>
      </c>
      <c r="C57" s="164"/>
      <c r="D57" s="90" t="s">
        <v>913</v>
      </c>
      <c r="E57" s="91"/>
      <c r="F57" s="92"/>
      <c r="U57" s="34"/>
      <c r="V57" s="34"/>
      <c r="W57" s="34"/>
      <c r="X57" s="34"/>
      <c r="Y57" s="34"/>
      <c r="Z57" s="34"/>
      <c r="AA57" s="34"/>
      <c r="AB57" s="34"/>
      <c r="AC57" s="34"/>
    </row>
    <row r="58" spans="2:29" s="1" customFormat="1" x14ac:dyDescent="0.25">
      <c r="B58" s="7"/>
      <c r="C58" s="7"/>
      <c r="D58" s="7"/>
      <c r="E58" s="7"/>
      <c r="F58" s="7"/>
      <c r="G58" s="7"/>
      <c r="H58" s="7"/>
      <c r="I58" s="7"/>
      <c r="J58" s="7"/>
      <c r="K58" s="7"/>
      <c r="L58" s="7"/>
      <c r="M58" s="7"/>
      <c r="N58" s="7"/>
      <c r="O58" s="7"/>
      <c r="P58" s="7"/>
      <c r="Q58" s="7"/>
      <c r="R58" s="7"/>
      <c r="S58" s="7"/>
      <c r="T58" s="7"/>
      <c r="U58" s="34"/>
      <c r="V58" s="34"/>
      <c r="W58" s="34"/>
      <c r="X58" s="34"/>
      <c r="Y58" s="34"/>
      <c r="Z58" s="34"/>
      <c r="AA58" s="34"/>
      <c r="AB58" s="34"/>
      <c r="AC58" s="34"/>
    </row>
    <row r="59" spans="2:29" s="1" customFormat="1" x14ac:dyDescent="0.25">
      <c r="B59" s="7" t="s">
        <v>915</v>
      </c>
      <c r="C59" s="7"/>
      <c r="D59" s="7"/>
      <c r="E59" s="7"/>
      <c r="F59" s="7"/>
      <c r="G59" s="7"/>
      <c r="H59" s="7"/>
      <c r="I59" s="7"/>
      <c r="J59" s="7"/>
      <c r="K59" s="7"/>
      <c r="L59" s="7"/>
      <c r="M59" s="7"/>
      <c r="N59" s="7"/>
      <c r="O59" s="7"/>
      <c r="P59" s="7"/>
      <c r="Q59" s="7"/>
      <c r="R59" s="7"/>
      <c r="S59" s="7"/>
      <c r="T59" s="7"/>
      <c r="U59" s="34"/>
      <c r="V59" s="34"/>
      <c r="W59" s="34"/>
      <c r="X59" s="34"/>
      <c r="Y59" s="34"/>
      <c r="Z59" s="34"/>
      <c r="AA59" s="34"/>
      <c r="AB59" s="34"/>
      <c r="AC59" s="34"/>
    </row>
    <row r="60" spans="2:29" s="1" customFormat="1" x14ac:dyDescent="0.25">
      <c r="B60" s="83" t="s">
        <v>22</v>
      </c>
      <c r="C60" s="78" t="s">
        <v>23</v>
      </c>
      <c r="D60" s="83" t="s">
        <v>255</v>
      </c>
      <c r="E60" s="83" t="s">
        <v>254</v>
      </c>
      <c r="F60" s="78" t="s">
        <v>68</v>
      </c>
      <c r="G60" s="78" t="s">
        <v>24</v>
      </c>
      <c r="I60" s="7"/>
      <c r="U60" s="34"/>
      <c r="V60" s="34"/>
      <c r="W60" s="34"/>
      <c r="X60" s="34"/>
      <c r="Y60" s="34"/>
      <c r="Z60" s="34"/>
      <c r="AA60" s="34"/>
      <c r="AB60" s="34"/>
      <c r="AC60" s="34"/>
    </row>
    <row r="61" spans="2:29" s="1" customFormat="1" x14ac:dyDescent="0.25">
      <c r="B61" s="83" t="s">
        <v>25</v>
      </c>
      <c r="C61" s="80">
        <v>7</v>
      </c>
      <c r="D61" s="77">
        <v>0</v>
      </c>
      <c r="E61" s="32">
        <v>0</v>
      </c>
      <c r="F61" s="24">
        <f>(C61+D61+E61+6)</f>
        <v>13</v>
      </c>
      <c r="G61" s="76">
        <f>FLOOR((F61-10)/2,1)</f>
        <v>1</v>
      </c>
      <c r="U61" s="34"/>
      <c r="V61" s="34"/>
      <c r="W61" s="34"/>
      <c r="X61" s="34"/>
      <c r="Y61" s="34"/>
      <c r="Z61" s="34"/>
      <c r="AA61" s="34"/>
      <c r="AB61" s="34"/>
      <c r="AC61" s="34"/>
    </row>
    <row r="62" spans="2:29" s="1" customFormat="1" x14ac:dyDescent="0.25">
      <c r="B62" s="83" t="s">
        <v>26</v>
      </c>
      <c r="C62" s="80">
        <v>17</v>
      </c>
      <c r="D62" s="77">
        <v>0</v>
      </c>
      <c r="E62" s="32">
        <v>0</v>
      </c>
      <c r="F62" s="24">
        <f t="shared" ref="F62" si="2">(C62+D62+E62)</f>
        <v>17</v>
      </c>
      <c r="G62" s="76">
        <f t="shared" ref="G62:G63" si="3">FLOOR((F62-10)/2,1)</f>
        <v>3</v>
      </c>
      <c r="U62" s="34"/>
      <c r="V62" s="34"/>
      <c r="W62" s="34"/>
      <c r="X62" s="34"/>
      <c r="Y62" s="34"/>
      <c r="Z62" s="34"/>
      <c r="AA62" s="34"/>
      <c r="AB62" s="34"/>
      <c r="AC62" s="34"/>
    </row>
    <row r="63" spans="2:29" s="1" customFormat="1" x14ac:dyDescent="0.25">
      <c r="B63" s="8" t="s">
        <v>27</v>
      </c>
      <c r="C63" s="80">
        <v>10</v>
      </c>
      <c r="D63" s="77">
        <v>0</v>
      </c>
      <c r="E63" s="32">
        <v>0</v>
      </c>
      <c r="F63" s="24">
        <f>(C63+D63+E63+6)</f>
        <v>16</v>
      </c>
      <c r="G63" s="76">
        <f t="shared" si="3"/>
        <v>3</v>
      </c>
      <c r="U63" s="34"/>
      <c r="V63" s="34"/>
      <c r="W63" s="34"/>
      <c r="X63" s="34"/>
      <c r="Y63" s="34"/>
      <c r="Z63" s="34"/>
      <c r="AA63" s="34"/>
      <c r="AB63" s="34"/>
      <c r="AC63" s="34"/>
    </row>
    <row r="64" spans="2:29" s="1" customFormat="1" x14ac:dyDescent="0.25">
      <c r="B64" s="7"/>
      <c r="C64" s="7"/>
      <c r="D64" s="7"/>
      <c r="E64" s="7"/>
      <c r="F64" s="7"/>
      <c r="G64" s="7"/>
      <c r="H64" s="7"/>
      <c r="I64" s="7"/>
      <c r="J64" s="7"/>
      <c r="K64" s="7"/>
      <c r="L64" s="7"/>
      <c r="M64" s="7"/>
      <c r="N64" s="7"/>
      <c r="O64" s="7"/>
      <c r="P64" s="7"/>
      <c r="Q64" s="7"/>
      <c r="R64" s="7"/>
      <c r="S64" s="7"/>
      <c r="T64" s="7"/>
      <c r="U64" s="34"/>
      <c r="V64" s="34"/>
      <c r="W64" s="34"/>
      <c r="X64" s="34"/>
      <c r="Y64" s="34"/>
      <c r="Z64" s="34"/>
      <c r="AA64" s="34"/>
      <c r="AB64" s="34"/>
      <c r="AC64" s="34"/>
    </row>
    <row r="65" spans="1:29" s="1" customFormat="1" x14ac:dyDescent="0.25">
      <c r="B65" s="7" t="s">
        <v>934</v>
      </c>
      <c r="U65" s="34"/>
      <c r="V65" s="34"/>
      <c r="W65" s="34"/>
      <c r="X65" s="34"/>
      <c r="Y65" s="34"/>
      <c r="Z65" s="34"/>
      <c r="AA65" s="34"/>
      <c r="AB65" s="34"/>
      <c r="AC65" s="34"/>
    </row>
    <row r="66" spans="1:29" s="7" customFormat="1" x14ac:dyDescent="0.25">
      <c r="B66" s="83" t="s">
        <v>31</v>
      </c>
      <c r="C66" s="25">
        <f>(F66+I66+L66+O66)</f>
        <v>8</v>
      </c>
      <c r="D66" s="111" t="s">
        <v>34</v>
      </c>
      <c r="E66" s="111"/>
      <c r="F66" s="81">
        <v>5</v>
      </c>
      <c r="G66" s="215" t="s">
        <v>935</v>
      </c>
      <c r="H66" s="216"/>
      <c r="I66" s="25">
        <f>G63</f>
        <v>3</v>
      </c>
      <c r="J66" s="111" t="s">
        <v>936</v>
      </c>
      <c r="K66" s="111"/>
      <c r="L66" s="214"/>
      <c r="M66" s="111" t="s">
        <v>937</v>
      </c>
      <c r="N66" s="111"/>
      <c r="O66" s="214"/>
      <c r="U66" s="34"/>
      <c r="V66" s="34"/>
      <c r="W66" s="34"/>
      <c r="X66" s="34"/>
      <c r="Y66" s="34"/>
      <c r="Z66" s="34"/>
      <c r="AA66" s="34"/>
      <c r="AB66" s="34"/>
      <c r="AC66" s="34"/>
    </row>
    <row r="67" spans="1:29" s="7" customFormat="1" x14ac:dyDescent="0.25">
      <c r="B67" s="78" t="s">
        <v>32</v>
      </c>
      <c r="C67" s="25">
        <f>(F67+I67+L67+O67)</f>
        <v>6</v>
      </c>
      <c r="D67" s="111" t="s">
        <v>34</v>
      </c>
      <c r="E67" s="111"/>
      <c r="F67" s="81">
        <v>3</v>
      </c>
      <c r="G67" s="164" t="s">
        <v>70</v>
      </c>
      <c r="H67" s="164"/>
      <c r="I67" s="25">
        <f>IF(G62&gt;G79,G79,G62)</f>
        <v>3</v>
      </c>
      <c r="J67" s="111" t="s">
        <v>936</v>
      </c>
      <c r="K67" s="111"/>
      <c r="L67" s="214"/>
      <c r="M67" s="111" t="s">
        <v>937</v>
      </c>
      <c r="N67" s="111"/>
      <c r="O67" s="214"/>
      <c r="U67" s="34"/>
      <c r="V67" s="34"/>
      <c r="W67" s="34"/>
      <c r="X67" s="34"/>
      <c r="Y67" s="34"/>
      <c r="Z67" s="34"/>
      <c r="AA67" s="34"/>
      <c r="AB67" s="34"/>
      <c r="AC67" s="34"/>
    </row>
    <row r="68" spans="1:29" s="7" customFormat="1" x14ac:dyDescent="0.25">
      <c r="B68" s="78" t="s">
        <v>33</v>
      </c>
      <c r="C68" s="25">
        <f>(F68+I68+L68+O68)</f>
        <v>4</v>
      </c>
      <c r="D68" s="111" t="s">
        <v>34</v>
      </c>
      <c r="E68" s="111"/>
      <c r="F68" s="81">
        <v>1</v>
      </c>
      <c r="G68" s="164" t="s">
        <v>935</v>
      </c>
      <c r="H68" s="164"/>
      <c r="I68" s="25">
        <f>G63</f>
        <v>3</v>
      </c>
      <c r="J68" s="111" t="s">
        <v>936</v>
      </c>
      <c r="K68" s="111"/>
      <c r="L68" s="214"/>
      <c r="M68" s="111" t="s">
        <v>937</v>
      </c>
      <c r="N68" s="111"/>
      <c r="O68" s="214"/>
      <c r="U68" s="34"/>
      <c r="V68" s="34"/>
      <c r="W68" s="34"/>
      <c r="X68" s="34"/>
      <c r="Y68" s="34"/>
      <c r="Z68" s="34"/>
      <c r="AA68" s="34"/>
      <c r="AB68" s="34"/>
      <c r="AC68" s="34"/>
    </row>
    <row r="69" spans="1:29" s="1" customFormat="1" x14ac:dyDescent="0.25">
      <c r="U69" s="34"/>
      <c r="V69" s="34"/>
      <c r="W69" s="34"/>
      <c r="X69" s="34"/>
      <c r="Y69" s="34"/>
      <c r="Z69" s="34"/>
      <c r="AA69" s="34"/>
      <c r="AB69" s="34"/>
      <c r="AC69" s="34"/>
    </row>
    <row r="70" spans="1:29" s="1" customFormat="1" x14ac:dyDescent="0.25">
      <c r="B70" s="7" t="s">
        <v>916</v>
      </c>
      <c r="C70" s="7"/>
      <c r="D70" s="7"/>
      <c r="E70" s="7"/>
      <c r="F70" s="7"/>
      <c r="G70" s="7"/>
      <c r="H70" s="7"/>
      <c r="I70" s="7"/>
      <c r="J70" s="7"/>
      <c r="K70" s="7"/>
      <c r="L70" s="7"/>
      <c r="M70" s="7"/>
      <c r="N70" s="7"/>
      <c r="O70" s="7"/>
      <c r="P70" s="7"/>
      <c r="Q70" s="7"/>
      <c r="R70" s="7"/>
      <c r="S70" s="7"/>
      <c r="T70" s="7"/>
      <c r="U70" s="34"/>
      <c r="V70" s="34"/>
      <c r="W70" s="34"/>
      <c r="X70" s="34"/>
      <c r="Y70" s="34"/>
      <c r="Z70" s="34"/>
      <c r="AA70" s="34"/>
      <c r="AB70" s="34"/>
      <c r="AC70" s="34"/>
    </row>
    <row r="71" spans="1:29" s="1" customFormat="1" x14ac:dyDescent="0.25">
      <c r="A71" s="7"/>
      <c r="B71" s="85" t="s">
        <v>74</v>
      </c>
      <c r="C71" s="85"/>
      <c r="D71" s="27">
        <f>(G62+J71)</f>
        <v>3</v>
      </c>
      <c r="E71" s="85" t="s">
        <v>70</v>
      </c>
      <c r="F71" s="85"/>
      <c r="G71" s="27">
        <f>IF(G62&gt;G79,G79,G62)</f>
        <v>3</v>
      </c>
      <c r="H71" s="85" t="s">
        <v>39</v>
      </c>
      <c r="I71" s="85"/>
      <c r="J71" s="203"/>
      <c r="K71" s="7"/>
      <c r="L71" s="7"/>
      <c r="M71" s="7"/>
      <c r="N71" s="7"/>
      <c r="O71" s="7"/>
      <c r="P71" s="7"/>
      <c r="Q71" s="7"/>
      <c r="R71" s="7"/>
      <c r="S71" s="7"/>
      <c r="T71" s="7"/>
      <c r="U71" s="34"/>
      <c r="V71" s="34"/>
      <c r="W71" s="34"/>
      <c r="X71" s="34"/>
      <c r="Y71" s="34"/>
      <c r="Z71" s="34"/>
      <c r="AA71" s="34"/>
      <c r="AB71" s="34"/>
      <c r="AC71" s="34"/>
    </row>
    <row r="72" spans="1:29" s="1" customFormat="1" x14ac:dyDescent="0.25">
      <c r="A72" s="7"/>
      <c r="B72" s="7"/>
      <c r="C72" s="7"/>
      <c r="D72" s="7"/>
      <c r="E72" s="7"/>
      <c r="F72" s="7"/>
      <c r="G72" s="7"/>
      <c r="H72" s="7"/>
      <c r="I72" s="7"/>
      <c r="J72" s="7"/>
      <c r="K72" s="7"/>
      <c r="L72" s="7"/>
      <c r="M72" s="7"/>
      <c r="N72" s="7"/>
      <c r="O72" s="7"/>
      <c r="P72" s="7"/>
      <c r="Q72" s="7"/>
      <c r="R72" s="7"/>
      <c r="S72" s="7"/>
      <c r="T72" s="7"/>
      <c r="U72" s="34"/>
      <c r="V72" s="34"/>
      <c r="W72" s="34"/>
      <c r="X72" s="34"/>
      <c r="Y72" s="34"/>
      <c r="Z72" s="34"/>
      <c r="AA72" s="34"/>
      <c r="AB72" s="34"/>
      <c r="AC72" s="34"/>
    </row>
    <row r="73" spans="1:29" s="1" customFormat="1" x14ac:dyDescent="0.25">
      <c r="A73" s="7"/>
      <c r="B73" s="131" t="s">
        <v>75</v>
      </c>
      <c r="C73" s="133"/>
      <c r="D73" s="29">
        <f>(G73+J73+M73+P73)</f>
        <v>7</v>
      </c>
      <c r="E73" s="131" t="s">
        <v>71</v>
      </c>
      <c r="F73" s="133"/>
      <c r="G73" s="27">
        <v>3</v>
      </c>
      <c r="H73" s="131" t="s">
        <v>36</v>
      </c>
      <c r="I73" s="133"/>
      <c r="J73" s="29">
        <f>G62</f>
        <v>3</v>
      </c>
      <c r="K73" s="131" t="s">
        <v>73</v>
      </c>
      <c r="L73" s="133"/>
      <c r="M73" s="29">
        <f>VLOOKUP(D56,SizeTable,2,FALSE)</f>
        <v>1</v>
      </c>
      <c r="N73" s="131" t="s">
        <v>39</v>
      </c>
      <c r="O73" s="133"/>
      <c r="P73" s="203"/>
      <c r="Q73" s="7"/>
      <c r="R73" s="7"/>
      <c r="S73" s="7"/>
      <c r="T73" s="7"/>
      <c r="U73" s="34"/>
      <c r="V73" s="34"/>
      <c r="W73" s="34"/>
      <c r="X73" s="34"/>
      <c r="Y73" s="34"/>
      <c r="Z73" s="34"/>
      <c r="AA73" s="34"/>
      <c r="AB73" s="34"/>
      <c r="AC73" s="34"/>
    </row>
    <row r="74" spans="1:29" s="1" customFormat="1" x14ac:dyDescent="0.25">
      <c r="A74" s="7"/>
      <c r="B74" s="131" t="s">
        <v>76</v>
      </c>
      <c r="C74" s="133"/>
      <c r="D74" s="29">
        <f>(G74+J74+M74+P74)</f>
        <v>5</v>
      </c>
      <c r="E74" s="131" t="s">
        <v>71</v>
      </c>
      <c r="F74" s="133"/>
      <c r="G74" s="29">
        <f>G73</f>
        <v>3</v>
      </c>
      <c r="H74" s="131" t="s">
        <v>36</v>
      </c>
      <c r="I74" s="133"/>
      <c r="J74" s="29">
        <f>IF(G62&gt;G79,G79,G62)</f>
        <v>3</v>
      </c>
      <c r="K74" s="131" t="s">
        <v>73</v>
      </c>
      <c r="L74" s="133"/>
      <c r="M74" s="29">
        <f>VLOOKUP(D56,SizeTable,2,FALSE)</f>
        <v>1</v>
      </c>
      <c r="N74" s="131" t="s">
        <v>39</v>
      </c>
      <c r="O74" s="133"/>
      <c r="P74" s="27">
        <v>-2</v>
      </c>
      <c r="Q74" s="7"/>
      <c r="R74" s="7"/>
      <c r="S74" s="7"/>
      <c r="T74" s="7"/>
      <c r="U74" s="34"/>
      <c r="V74" s="34"/>
      <c r="W74" s="34"/>
      <c r="X74" s="34"/>
      <c r="Y74" s="34"/>
      <c r="Z74" s="34"/>
      <c r="AA74" s="34"/>
      <c r="AB74" s="34"/>
      <c r="AC74" s="34"/>
    </row>
    <row r="75" spans="1:29" s="1" customFormat="1" x14ac:dyDescent="0.25">
      <c r="A75" s="7"/>
      <c r="B75" s="131" t="s">
        <v>77</v>
      </c>
      <c r="C75" s="133"/>
      <c r="D75" s="29">
        <f>(G75+J75+M75+P75)</f>
        <v>0</v>
      </c>
      <c r="E75" s="131" t="s">
        <v>71</v>
      </c>
      <c r="F75" s="133"/>
      <c r="G75" s="29">
        <f>G74</f>
        <v>3</v>
      </c>
      <c r="H75" s="131" t="s">
        <v>72</v>
      </c>
      <c r="I75" s="133"/>
      <c r="J75" s="29">
        <f>G61</f>
        <v>1</v>
      </c>
      <c r="K75" s="131" t="s">
        <v>73</v>
      </c>
      <c r="L75" s="133"/>
      <c r="M75" s="29">
        <f>LOOKUP(VLOOKUP(D56,SizeTable,2,FALSE), {-8,-4,-2,-1,0,1,2,4,8},{16,12,8,4,0,-4,-8,-12,-16})</f>
        <v>-4</v>
      </c>
      <c r="N75" s="131" t="s">
        <v>39</v>
      </c>
      <c r="O75" s="133"/>
      <c r="P75" s="203"/>
      <c r="Q75" s="7"/>
      <c r="R75" s="7"/>
      <c r="S75" s="7"/>
      <c r="T75" s="7"/>
      <c r="U75" s="34"/>
      <c r="V75" s="34"/>
      <c r="W75" s="34"/>
      <c r="X75" s="34"/>
      <c r="Y75" s="34"/>
      <c r="Z75" s="34"/>
      <c r="AA75" s="34"/>
      <c r="AB75" s="34"/>
      <c r="AC75" s="34"/>
    </row>
    <row r="76" spans="1:29" s="1" customFormat="1" x14ac:dyDescent="0.25">
      <c r="A76" s="7"/>
      <c r="B76" s="7"/>
      <c r="C76" s="7"/>
      <c r="D76" s="7"/>
      <c r="E76" s="7"/>
      <c r="F76" s="7"/>
      <c r="G76" s="7"/>
      <c r="H76" s="7"/>
      <c r="I76" s="7"/>
      <c r="J76" s="7"/>
      <c r="K76" s="7"/>
      <c r="L76" s="7"/>
      <c r="M76" s="7"/>
      <c r="N76" s="7"/>
      <c r="O76" s="7"/>
      <c r="P76" s="7"/>
      <c r="Q76" s="7"/>
      <c r="R76" s="7"/>
      <c r="S76" s="7"/>
      <c r="T76" s="7"/>
      <c r="U76" s="34"/>
      <c r="V76" s="34"/>
      <c r="W76" s="34"/>
      <c r="X76" s="34"/>
      <c r="Y76" s="34"/>
      <c r="Z76" s="34"/>
      <c r="AA76" s="34"/>
      <c r="AB76" s="34"/>
      <c r="AC76" s="34"/>
    </row>
    <row r="77" spans="1:29" s="1" customFormat="1" x14ac:dyDescent="0.25">
      <c r="A77" s="7"/>
      <c r="B77" s="85" t="s">
        <v>10</v>
      </c>
      <c r="C77" s="85"/>
      <c r="D77" s="29">
        <f>(10+G77+J77+M77+P77+J78+M78+P78+M79)</f>
        <v>14</v>
      </c>
      <c r="E77" s="85" t="s">
        <v>78</v>
      </c>
      <c r="F77" s="85"/>
      <c r="G77" s="29">
        <v>0</v>
      </c>
      <c r="H77" s="85" t="s">
        <v>36</v>
      </c>
      <c r="I77" s="85"/>
      <c r="J77" s="29">
        <f>IF(G62&gt;G79,G79,G62)</f>
        <v>3</v>
      </c>
      <c r="K77" s="85" t="s">
        <v>73</v>
      </c>
      <c r="L77" s="85"/>
      <c r="M77" s="29">
        <f>VLOOKUP(D56,SizeTable,2,FALSE)</f>
        <v>1</v>
      </c>
      <c r="N77" s="85" t="s">
        <v>79</v>
      </c>
      <c r="O77" s="85"/>
      <c r="P77" s="27">
        <v>0</v>
      </c>
      <c r="Q77" s="7"/>
      <c r="R77" s="7"/>
      <c r="S77" s="7"/>
      <c r="T77" s="7"/>
      <c r="U77" s="34"/>
      <c r="V77" s="34"/>
      <c r="W77" s="34"/>
      <c r="X77" s="34"/>
      <c r="Y77" s="34"/>
      <c r="Z77" s="34"/>
      <c r="AA77" s="34"/>
      <c r="AB77" s="34"/>
      <c r="AC77" s="34"/>
    </row>
    <row r="78" spans="1:29" s="1" customFormat="1" x14ac:dyDescent="0.25">
      <c r="A78" s="7"/>
      <c r="B78" s="131" t="s">
        <v>82</v>
      </c>
      <c r="C78" s="133"/>
      <c r="D78" s="29">
        <f>(10+J77+M77+J78+P78+M79)</f>
        <v>14</v>
      </c>
      <c r="E78" s="94" t="s">
        <v>177</v>
      </c>
      <c r="F78" s="96"/>
      <c r="G78" s="29">
        <f>(10+G77+M77+P77+J78+M78+P78)</f>
        <v>11</v>
      </c>
      <c r="H78" s="149" t="s">
        <v>81</v>
      </c>
      <c r="I78" s="150"/>
      <c r="J78" s="27">
        <v>0</v>
      </c>
      <c r="K78" s="85" t="s">
        <v>80</v>
      </c>
      <c r="L78" s="85"/>
      <c r="M78" s="27">
        <v>0</v>
      </c>
      <c r="N78" s="85" t="s">
        <v>39</v>
      </c>
      <c r="O78" s="85"/>
      <c r="P78" s="27">
        <v>0</v>
      </c>
      <c r="Q78" s="7"/>
      <c r="R78" s="7"/>
      <c r="S78" s="7"/>
      <c r="T78" s="7"/>
      <c r="U78" s="34"/>
      <c r="V78" s="34"/>
      <c r="W78" s="34"/>
      <c r="X78" s="34"/>
      <c r="Y78" s="34"/>
      <c r="Z78" s="34"/>
      <c r="AA78" s="34"/>
      <c r="AB78" s="34"/>
      <c r="AC78" s="34"/>
    </row>
    <row r="79" spans="1:29" s="1" customFormat="1" x14ac:dyDescent="0.25">
      <c r="A79" s="7"/>
      <c r="B79" s="189" t="s">
        <v>14</v>
      </c>
      <c r="C79" s="189"/>
      <c r="D79" s="79" t="e">
        <f>IF((SUM(#REF!)+SUM(#REF!))&gt;R61,R61,(SUM(#REF!)+SUM(#REF!)))</f>
        <v>#REF!</v>
      </c>
      <c r="E79" s="131" t="s">
        <v>15</v>
      </c>
      <c r="F79" s="133"/>
      <c r="G79" s="29" t="s">
        <v>1</v>
      </c>
      <c r="H79" s="149" t="s">
        <v>16</v>
      </c>
      <c r="I79" s="150"/>
      <c r="J79" s="30">
        <v>0</v>
      </c>
      <c r="K79" s="131" t="s">
        <v>84</v>
      </c>
      <c r="L79" s="133"/>
      <c r="M79" s="27">
        <v>0</v>
      </c>
      <c r="N79" s="7"/>
      <c r="O79" s="7"/>
      <c r="P79" s="7"/>
      <c r="Q79" s="7"/>
      <c r="R79" s="7"/>
      <c r="S79" s="7"/>
      <c r="T79" s="7"/>
      <c r="U79" s="34"/>
      <c r="V79" s="34"/>
      <c r="W79" s="34"/>
      <c r="X79" s="34"/>
      <c r="Y79" s="34"/>
      <c r="Z79" s="34"/>
      <c r="AA79" s="34"/>
      <c r="AB79" s="34"/>
      <c r="AC79" s="34"/>
    </row>
    <row r="80" spans="1:29" s="1" customFormat="1" x14ac:dyDescent="0.25">
      <c r="A80" s="7"/>
      <c r="B80" s="105" t="s">
        <v>243</v>
      </c>
      <c r="C80" s="107"/>
      <c r="D80" s="207"/>
      <c r="E80" s="208"/>
      <c r="F80" s="208"/>
      <c r="G80" s="208"/>
      <c r="H80" s="208"/>
      <c r="I80" s="208"/>
      <c r="J80" s="208"/>
      <c r="K80" s="208"/>
      <c r="L80" s="208"/>
      <c r="M80" s="208"/>
      <c r="N80" s="208"/>
      <c r="O80" s="208"/>
      <c r="P80" s="209"/>
      <c r="Q80" s="7"/>
      <c r="R80" s="7"/>
      <c r="S80" s="7"/>
      <c r="T80" s="7"/>
      <c r="U80" s="34"/>
      <c r="V80" s="34"/>
      <c r="W80" s="34"/>
      <c r="X80" s="34"/>
      <c r="Y80" s="34"/>
      <c r="Z80" s="34"/>
      <c r="AA80" s="34"/>
      <c r="AB80" s="34"/>
      <c r="AC80" s="34"/>
    </row>
    <row r="81" spans="1:29" s="1" customFormat="1" x14ac:dyDescent="0.25">
      <c r="A81" s="7"/>
      <c r="B81" s="7"/>
      <c r="C81" s="7"/>
      <c r="D81" s="7"/>
      <c r="E81" s="7"/>
      <c r="F81" s="7"/>
      <c r="G81" s="7"/>
      <c r="H81" s="7"/>
      <c r="I81" s="7"/>
      <c r="J81" s="7"/>
      <c r="K81" s="7"/>
      <c r="L81" s="7"/>
      <c r="M81" s="7"/>
      <c r="N81" s="7"/>
      <c r="O81" s="7"/>
      <c r="P81" s="7"/>
      <c r="Q81" s="7"/>
      <c r="R81" s="7"/>
      <c r="S81" s="7"/>
      <c r="T81" s="7"/>
      <c r="U81" s="34"/>
      <c r="V81" s="34"/>
      <c r="W81" s="34"/>
      <c r="X81" s="34"/>
      <c r="Y81" s="34"/>
      <c r="Z81" s="34"/>
      <c r="AA81" s="34"/>
      <c r="AB81" s="34"/>
      <c r="AC81" s="34"/>
    </row>
    <row r="82" spans="1:29" s="1" customFormat="1" x14ac:dyDescent="0.25">
      <c r="A82" s="7"/>
      <c r="B82" s="85" t="s">
        <v>85</v>
      </c>
      <c r="C82" s="85"/>
      <c r="D82" s="97" t="s">
        <v>917</v>
      </c>
      <c r="E82" s="148"/>
      <c r="F82" s="98"/>
      <c r="G82" s="85" t="s">
        <v>86</v>
      </c>
      <c r="H82" s="85"/>
      <c r="I82" s="27">
        <f>D73</f>
        <v>7</v>
      </c>
      <c r="J82" s="82" t="s">
        <v>87</v>
      </c>
      <c r="K82" s="27" t="str">
        <f>"1d4+"&amp;G61</f>
        <v>1d4+1</v>
      </c>
      <c r="L82" s="82" t="s">
        <v>88</v>
      </c>
      <c r="M82" s="27" t="s">
        <v>918</v>
      </c>
      <c r="N82" s="7"/>
      <c r="O82" s="7"/>
      <c r="P82" s="7"/>
      <c r="Q82" s="7"/>
      <c r="R82" s="7"/>
      <c r="S82" s="7"/>
      <c r="T82" s="7"/>
      <c r="U82" s="34"/>
      <c r="V82" s="34"/>
      <c r="W82" s="34"/>
      <c r="X82" s="34"/>
      <c r="Y82" s="34"/>
      <c r="Z82" s="34"/>
      <c r="AA82" s="34"/>
      <c r="AB82" s="34"/>
      <c r="AC82" s="34"/>
    </row>
    <row r="83" spans="1:29" s="1" customFormat="1" x14ac:dyDescent="0.25">
      <c r="A83" s="7"/>
      <c r="B83" s="85" t="s">
        <v>90</v>
      </c>
      <c r="C83" s="85"/>
      <c r="D83" s="97" t="s">
        <v>919</v>
      </c>
      <c r="E83" s="148"/>
      <c r="F83" s="98"/>
      <c r="G83" s="85" t="s">
        <v>86</v>
      </c>
      <c r="H83" s="85"/>
      <c r="I83" s="27">
        <f>D74</f>
        <v>5</v>
      </c>
      <c r="J83" s="82" t="s">
        <v>87</v>
      </c>
      <c r="K83" s="27" t="s">
        <v>1</v>
      </c>
      <c r="L83" s="82" t="s">
        <v>88</v>
      </c>
      <c r="M83" s="27" t="s">
        <v>1</v>
      </c>
      <c r="N83" s="85" t="s">
        <v>89</v>
      </c>
      <c r="O83" s="85"/>
      <c r="P83" s="27" t="s">
        <v>920</v>
      </c>
      <c r="Q83" s="7"/>
      <c r="R83" s="7"/>
      <c r="S83" s="7"/>
      <c r="T83" s="7"/>
      <c r="U83" s="34"/>
      <c r="V83" s="34"/>
      <c r="W83" s="34"/>
      <c r="X83" s="34"/>
      <c r="Y83" s="34"/>
      <c r="Z83" s="34"/>
      <c r="AA83" s="34"/>
      <c r="AB83" s="34"/>
      <c r="AC83" s="34"/>
    </row>
    <row r="84" spans="1:29" s="1" customFormat="1" x14ac:dyDescent="0.25">
      <c r="B84" s="7"/>
      <c r="C84" s="7"/>
      <c r="D84" s="7"/>
      <c r="E84" s="7"/>
      <c r="F84" s="7"/>
      <c r="G84" s="7"/>
      <c r="H84" s="7"/>
      <c r="I84" s="7"/>
      <c r="J84" s="7"/>
      <c r="K84" s="7"/>
      <c r="L84" s="7"/>
      <c r="M84" s="7"/>
      <c r="N84" s="7"/>
      <c r="O84" s="7"/>
      <c r="P84" s="7"/>
      <c r="Q84" s="7"/>
      <c r="R84" s="7"/>
      <c r="S84" s="7"/>
      <c r="T84" s="7"/>
      <c r="U84" s="34"/>
      <c r="V84" s="34"/>
      <c r="W84" s="34"/>
      <c r="X84" s="34"/>
      <c r="Y84" s="34"/>
      <c r="Z84" s="34"/>
      <c r="AA84" s="34"/>
      <c r="AB84" s="34"/>
      <c r="AC84" s="34"/>
    </row>
    <row r="85" spans="1:29" s="1" customFormat="1" x14ac:dyDescent="0.25">
      <c r="B85" s="7" t="s">
        <v>938</v>
      </c>
      <c r="C85" s="7"/>
      <c r="D85" s="7"/>
      <c r="E85" s="7"/>
      <c r="F85" s="7"/>
      <c r="G85" s="7"/>
      <c r="H85" s="7"/>
      <c r="I85" s="7"/>
      <c r="J85" s="7"/>
      <c r="K85" s="7"/>
      <c r="L85" s="7"/>
      <c r="M85" s="7"/>
      <c r="N85" s="7"/>
      <c r="O85" s="7"/>
      <c r="P85" s="7"/>
      <c r="Q85" s="7"/>
      <c r="R85" s="7"/>
      <c r="S85" s="7"/>
      <c r="T85" s="7"/>
      <c r="U85" s="34"/>
      <c r="V85" s="34"/>
      <c r="W85" s="34"/>
      <c r="X85" s="34"/>
      <c r="Y85" s="34"/>
      <c r="Z85" s="34"/>
      <c r="AA85" s="34"/>
      <c r="AB85" s="34"/>
      <c r="AC85" s="34"/>
    </row>
    <row r="86" spans="1:29" s="7" customFormat="1" x14ac:dyDescent="0.25">
      <c r="B86" s="111" t="s">
        <v>62</v>
      </c>
      <c r="C86" s="111"/>
      <c r="D86" s="111"/>
      <c r="E86" s="111" t="s">
        <v>63</v>
      </c>
      <c r="F86" s="111"/>
      <c r="G86" s="111"/>
      <c r="H86" s="111" t="s">
        <v>64</v>
      </c>
      <c r="I86" s="111"/>
      <c r="J86" s="111"/>
      <c r="K86" s="111" t="s">
        <v>65</v>
      </c>
      <c r="L86" s="111"/>
      <c r="M86" s="111" t="s">
        <v>60</v>
      </c>
      <c r="N86" s="111"/>
      <c r="O86" s="111"/>
      <c r="P86" s="111" t="s">
        <v>61</v>
      </c>
      <c r="Q86" s="111"/>
      <c r="U86" s="34"/>
      <c r="V86" s="34"/>
      <c r="W86" s="34"/>
      <c r="X86" s="34"/>
      <c r="Y86" s="34"/>
      <c r="Z86" s="34"/>
      <c r="AA86" s="34"/>
      <c r="AB86" s="34"/>
      <c r="AC86" s="34"/>
    </row>
    <row r="87" spans="1:29" s="1" customFormat="1" x14ac:dyDescent="0.25">
      <c r="B87" s="154">
        <f>LOOKUP(F61, {1,2,3,4,5,6,7,8,9,10,11,12,13,14,15,16,17,18,19,20,21,22,23,24,25,26,27,28,29,30,31,32,33,34,35,36,37,38,39,40}, {3,6,10,13,16,20,23,26,30,33,38,43,50,58,66,76,86,100,116,133,153,173,200,233,266,306,346,400,466,532,612,692,800,932,1064,1224,1384,1600,1864,2128})</f>
        <v>50</v>
      </c>
      <c r="C87" s="154"/>
      <c r="D87" s="154"/>
      <c r="E87" s="154">
        <f>LOOKUP(F61, {1,2,3,4,5,6,7,8,9,10,11,12,13,14,15,16,17,18,19,20,21,22,23,24,25,26,27,28,29,30,31,32,33,34,35,36,37,38,39,40}, {6,13,20,26,33,40,46,53,60,66,76,86,100,116,133,153,173,200,233,266,306,346,400,466,533,613,693,800,933,1064,1224,1384,1600,1864,2132,2452,2772,3200,3732,4256})</f>
        <v>100</v>
      </c>
      <c r="F87" s="154"/>
      <c r="G87" s="154"/>
      <c r="H87" s="154">
        <f>LOOKUP(F61, {1,2,3,4,5,6,7,8,9,10,11,12,13,14,15,16,17,18,19,20,21,22,23,24,25,26,27,28,29,30,31,32,33,34,35,36,37,38,39,40}, {10,20,30,40,50,60,70,80,90,100,115,130,150,175,200,230,260,300,350,400,460,520,600,700,800,920,1040,1200,1400,1600,1840,2080,2400,2800,3200,3680,4160,4800,5600,6400})</f>
        <v>150</v>
      </c>
      <c r="I87" s="154"/>
      <c r="J87" s="154"/>
      <c r="K87" s="154">
        <v>0</v>
      </c>
      <c r="L87" s="154"/>
      <c r="M87" s="188">
        <v>30</v>
      </c>
      <c r="N87" s="188"/>
      <c r="O87" s="188"/>
      <c r="P87" s="154">
        <f>IF(M87&gt;=30,M87-(IF(B87&gt;=K87,0,10)),M87-(IF(B87&gt;=K87,0,5)))</f>
        <v>30</v>
      </c>
      <c r="Q87" s="154"/>
      <c r="R87" s="17">
        <f>IF(AND(K87&gt;B87,K87&lt;=E87),-3,IF(AND(K87&gt;E87,K87&lt;=H87),-6,0))</f>
        <v>0</v>
      </c>
      <c r="U87" s="34"/>
      <c r="V87" s="34"/>
      <c r="W87" s="34"/>
      <c r="X87" s="34"/>
      <c r="Y87" s="34"/>
      <c r="Z87" s="34"/>
      <c r="AA87" s="34"/>
      <c r="AB87" s="34"/>
      <c r="AC87" s="34"/>
    </row>
    <row r="88" spans="1:29" s="1" customFormat="1" x14ac:dyDescent="0.25">
      <c r="B88" s="7"/>
      <c r="C88" s="7"/>
      <c r="D88" s="7"/>
      <c r="E88" s="7"/>
      <c r="F88" s="7"/>
      <c r="G88" s="7"/>
      <c r="H88" s="7"/>
      <c r="I88" s="7"/>
      <c r="J88" s="7"/>
      <c r="K88" s="7"/>
      <c r="L88" s="7"/>
      <c r="M88" s="7"/>
      <c r="N88" s="7"/>
      <c r="O88" s="7"/>
      <c r="P88" s="7"/>
      <c r="Q88" s="7"/>
      <c r="R88" s="7"/>
      <c r="S88" s="7"/>
      <c r="T88" s="7"/>
      <c r="U88" s="34"/>
      <c r="V88" s="34"/>
      <c r="W88" s="34"/>
      <c r="X88" s="34"/>
      <c r="Y88" s="34"/>
      <c r="Z88" s="34"/>
      <c r="AA88" s="34"/>
      <c r="AB88" s="34"/>
      <c r="AC88" s="34"/>
    </row>
    <row r="89" spans="1:29" s="1" customFormat="1" x14ac:dyDescent="0.25">
      <c r="B89" s="7" t="s">
        <v>922</v>
      </c>
      <c r="C89" s="7"/>
      <c r="D89" s="7"/>
      <c r="E89" s="7"/>
      <c r="F89" s="7"/>
      <c r="G89" s="7"/>
      <c r="H89" s="7"/>
      <c r="I89" s="7"/>
      <c r="J89" s="7"/>
      <c r="K89" s="7"/>
      <c r="L89" s="7"/>
      <c r="M89" s="7"/>
      <c r="N89" s="7"/>
      <c r="O89" s="7"/>
      <c r="P89" s="7"/>
      <c r="Q89" s="7"/>
      <c r="R89" s="7"/>
      <c r="S89" s="7"/>
      <c r="T89" s="7"/>
      <c r="U89" s="34"/>
      <c r="V89" s="34"/>
      <c r="W89" s="34"/>
      <c r="X89" s="34"/>
      <c r="Y89" s="34"/>
      <c r="Z89" s="34"/>
      <c r="AA89" s="34"/>
      <c r="AB89" s="34"/>
      <c r="AC89" s="34"/>
    </row>
    <row r="90" spans="1:29" s="7" customFormat="1" x14ac:dyDescent="0.25">
      <c r="B90" s="111" t="s">
        <v>62</v>
      </c>
      <c r="C90" s="111"/>
      <c r="D90" s="111"/>
      <c r="E90" s="111" t="s">
        <v>63</v>
      </c>
      <c r="F90" s="111"/>
      <c r="G90" s="111"/>
      <c r="H90" s="111" t="s">
        <v>64</v>
      </c>
      <c r="I90" s="111"/>
      <c r="J90" s="111"/>
      <c r="K90" s="111" t="s">
        <v>65</v>
      </c>
      <c r="L90" s="111"/>
      <c r="M90" s="111" t="s">
        <v>60</v>
      </c>
      <c r="N90" s="111"/>
      <c r="O90" s="111"/>
      <c r="P90" s="111" t="s">
        <v>61</v>
      </c>
      <c r="Q90" s="111"/>
      <c r="U90" s="34"/>
      <c r="V90" s="34"/>
      <c r="W90" s="34"/>
      <c r="X90" s="34"/>
      <c r="Y90" s="34"/>
      <c r="Z90" s="34"/>
      <c r="AA90" s="34"/>
      <c r="AB90" s="34"/>
      <c r="AC90" s="34"/>
    </row>
    <row r="91" spans="1:29" s="1" customFormat="1" x14ac:dyDescent="0.25">
      <c r="B91" s="154">
        <f>LOOKUP(F61, {1,2,3,4,5,6,7,8,9,10,11,12,13,14,15,16,17,18,19,20,21,22,23,24,25,26,27,28,29,30,31,32,33,34,35,36,37,38,39,40}, {3,6,10,13,16,20,23,26,30,33,38,43,50,58,66,76,86,100,116,133,153,173,200,233,266,306,346,400,466,532,612,692,800,932,1064,1224,1384,1600,1864,2128})</f>
        <v>50</v>
      </c>
      <c r="C91" s="154"/>
      <c r="D91" s="154"/>
      <c r="E91" s="154">
        <f>LOOKUP(F61, {1,2,3,4,5,6,7,8,9,10,11,12,13,14,15,16,17,18,19,20,21,22,23,24,25,26,27,28,29,30,31,32,33,34,35,36,37,38,39,40}, {6,13,20,26,33,40,46,53,60,66,76,86,100,116,133,153,173,200,233,266,306,346,400,466,533,613,693,800,933,1064,1224,1384,1600,1864,2132,2452,2772,3200,3732,4256})</f>
        <v>100</v>
      </c>
      <c r="F91" s="154"/>
      <c r="G91" s="154"/>
      <c r="H91" s="154">
        <f>LOOKUP(F61, {1,2,3,4,5,6,7,8,9,10,11,12,13,14,15,16,17,18,19,20,21,22,23,24,25,26,27,28,29,30,31,32,33,34,35,36,37,38,39,40}, {10,20,30,40,50,60,70,80,90,100,115,130,150,175,200,230,260,300,350,400,460,520,600,700,800,920,1040,1200,1400,1600,1840,2080,2400,2800,3200,3680,4160,4800,5600,6400})</f>
        <v>150</v>
      </c>
      <c r="I91" s="154"/>
      <c r="J91" s="154"/>
      <c r="K91" s="154">
        <v>0</v>
      </c>
      <c r="L91" s="154"/>
      <c r="M91" s="188">
        <v>20</v>
      </c>
      <c r="N91" s="188"/>
      <c r="O91" s="188"/>
      <c r="P91" s="154">
        <f>IF(M91&gt;=30,M91-(IF(B91&gt;=K91,0,10)),M91-(IF(B91&gt;=K91,0,5)))</f>
        <v>20</v>
      </c>
      <c r="Q91" s="154"/>
      <c r="R91" s="17">
        <f>IF(AND(K91&gt;B91,K91&lt;=E91),-3,IF(AND(K91&gt;E91,K91&lt;=H91),-6,0))</f>
        <v>0</v>
      </c>
      <c r="U91" s="34"/>
      <c r="V91" s="34"/>
      <c r="W91" s="34"/>
      <c r="X91" s="34"/>
      <c r="Y91" s="34"/>
      <c r="Z91" s="34"/>
      <c r="AA91" s="34"/>
      <c r="AB91" s="34"/>
      <c r="AC91" s="34"/>
    </row>
    <row r="92" spans="1:29" s="1" customFormat="1" x14ac:dyDescent="0.25">
      <c r="B92" s="7"/>
      <c r="C92" s="7"/>
      <c r="D92" s="7"/>
      <c r="E92" s="7"/>
      <c r="F92" s="7"/>
      <c r="G92" s="7"/>
      <c r="H92" s="7"/>
      <c r="I92" s="7"/>
      <c r="J92" s="7"/>
      <c r="K92" s="7"/>
      <c r="L92" s="7"/>
      <c r="M92" s="7"/>
      <c r="N92" s="7"/>
      <c r="O92" s="7"/>
      <c r="P92" s="7"/>
      <c r="Q92" s="7"/>
      <c r="R92" s="7"/>
      <c r="S92" s="7"/>
      <c r="T92" s="7"/>
      <c r="U92" s="34"/>
      <c r="V92" s="34"/>
      <c r="W92" s="34"/>
      <c r="X92" s="34"/>
      <c r="Y92" s="34"/>
      <c r="Z92" s="34"/>
      <c r="AA92" s="34"/>
      <c r="AB92" s="34"/>
      <c r="AC92" s="34"/>
    </row>
    <row r="93" spans="1:29" s="7" customFormat="1" x14ac:dyDescent="0.25">
      <c r="B93" s="7" t="s">
        <v>92</v>
      </c>
      <c r="U93" s="34"/>
      <c r="V93" s="34"/>
      <c r="W93" s="34"/>
      <c r="X93" s="34"/>
      <c r="Y93" s="34"/>
      <c r="Z93" s="34"/>
      <c r="AA93" s="34"/>
      <c r="AB93" s="34"/>
      <c r="AC93" s="34"/>
    </row>
    <row r="94" spans="1:29" s="7" customFormat="1" ht="15" customHeight="1" x14ac:dyDescent="0.25">
      <c r="B94" s="139" t="s">
        <v>22</v>
      </c>
      <c r="C94" s="140"/>
      <c r="D94" s="140"/>
      <c r="E94" s="141"/>
      <c r="F94" s="139" t="s">
        <v>93</v>
      </c>
      <c r="G94" s="140"/>
      <c r="H94" s="140"/>
      <c r="I94" s="140"/>
      <c r="J94" s="140"/>
      <c r="K94" s="140"/>
      <c r="L94" s="140"/>
      <c r="M94" s="140"/>
      <c r="N94" s="140"/>
      <c r="O94" s="140"/>
      <c r="P94" s="141"/>
      <c r="Q94" s="139" t="s">
        <v>42</v>
      </c>
      <c r="R94" s="140"/>
      <c r="S94" s="141"/>
      <c r="U94" s="34"/>
      <c r="V94" s="34"/>
      <c r="W94" s="34"/>
      <c r="X94" s="34"/>
      <c r="Y94" s="34"/>
      <c r="Z94" s="34"/>
      <c r="AA94" s="34"/>
      <c r="AB94" s="34"/>
      <c r="AC94" s="34"/>
    </row>
    <row r="95" spans="1:29" s="7" customFormat="1" x14ac:dyDescent="0.25">
      <c r="B95" s="90" t="s">
        <v>923</v>
      </c>
      <c r="C95" s="91"/>
      <c r="D95" s="91"/>
      <c r="E95" s="92"/>
      <c r="F95" s="99" t="s">
        <v>924</v>
      </c>
      <c r="G95" s="91"/>
      <c r="H95" s="91"/>
      <c r="I95" s="91"/>
      <c r="J95" s="91"/>
      <c r="K95" s="91"/>
      <c r="L95" s="91"/>
      <c r="M95" s="91"/>
      <c r="N95" s="91"/>
      <c r="O95" s="91"/>
      <c r="P95" s="92"/>
      <c r="Q95" s="90" t="s">
        <v>925</v>
      </c>
      <c r="R95" s="91"/>
      <c r="S95" s="92"/>
      <c r="U95" s="34"/>
      <c r="V95" s="34"/>
      <c r="W95" s="34"/>
      <c r="X95" s="34"/>
      <c r="Y95" s="34"/>
      <c r="Z95" s="34"/>
      <c r="AA95" s="34"/>
      <c r="AB95" s="34"/>
      <c r="AC95" s="34"/>
    </row>
    <row r="96" spans="1:29" s="1" customFormat="1" x14ac:dyDescent="0.25">
      <c r="B96" s="7"/>
      <c r="C96" s="7"/>
      <c r="D96" s="7"/>
      <c r="E96" s="7"/>
      <c r="F96" s="7"/>
      <c r="G96" s="7"/>
      <c r="H96" s="7"/>
      <c r="I96" s="7"/>
      <c r="J96" s="7"/>
      <c r="K96" s="7"/>
      <c r="L96" s="7"/>
      <c r="M96" s="7"/>
      <c r="N96" s="7"/>
      <c r="O96" s="7"/>
      <c r="P96" s="7"/>
      <c r="Q96" s="7"/>
      <c r="R96" s="7"/>
      <c r="S96" s="7"/>
      <c r="T96" s="7"/>
      <c r="U96" s="34"/>
      <c r="V96" s="34"/>
      <c r="W96" s="34"/>
      <c r="X96" s="34"/>
      <c r="Y96" s="34"/>
      <c r="Z96" s="34"/>
      <c r="AA96" s="34"/>
      <c r="AB96" s="34"/>
      <c r="AC96" s="34"/>
    </row>
    <row r="97" spans="2:29" s="7" customFormat="1" ht="15" customHeight="1" x14ac:dyDescent="0.25">
      <c r="B97" s="7" t="s">
        <v>926</v>
      </c>
      <c r="U97" s="34"/>
      <c r="V97" s="34"/>
      <c r="W97" s="34"/>
      <c r="X97" s="34"/>
      <c r="Y97" s="34"/>
      <c r="Z97" s="34"/>
      <c r="AA97" s="34"/>
      <c r="AB97" s="34"/>
      <c r="AC97" s="34"/>
    </row>
    <row r="98" spans="2:29" s="7" customFormat="1" ht="15" customHeight="1" x14ac:dyDescent="0.25">
      <c r="B98" s="139" t="s">
        <v>22</v>
      </c>
      <c r="C98" s="140"/>
      <c r="D98" s="140"/>
      <c r="E98" s="141"/>
      <c r="F98" s="139" t="s">
        <v>93</v>
      </c>
      <c r="G98" s="140"/>
      <c r="H98" s="140"/>
      <c r="I98" s="140"/>
      <c r="J98" s="140"/>
      <c r="K98" s="140"/>
      <c r="L98" s="140"/>
      <c r="M98" s="140"/>
      <c r="N98" s="140"/>
      <c r="O98" s="140"/>
      <c r="P98" s="141"/>
      <c r="Q98" s="139" t="s">
        <v>42</v>
      </c>
      <c r="R98" s="140"/>
      <c r="S98" s="141"/>
      <c r="U98" s="34"/>
      <c r="V98" s="34"/>
      <c r="W98" s="34"/>
      <c r="X98" s="34"/>
      <c r="Y98" s="34"/>
      <c r="Z98" s="34"/>
      <c r="AA98" s="34"/>
      <c r="AB98" s="34"/>
      <c r="AC98" s="34"/>
    </row>
    <row r="99" spans="2:29" s="7" customFormat="1" x14ac:dyDescent="0.25">
      <c r="B99" s="90" t="s">
        <v>927</v>
      </c>
      <c r="C99" s="91"/>
      <c r="D99" s="91"/>
      <c r="E99" s="92"/>
      <c r="F99" s="99" t="s">
        <v>939</v>
      </c>
      <c r="G99" s="91"/>
      <c r="H99" s="91"/>
      <c r="I99" s="91"/>
      <c r="J99" s="91"/>
      <c r="K99" s="91"/>
      <c r="L99" s="91"/>
      <c r="M99" s="91"/>
      <c r="N99" s="91"/>
      <c r="O99" s="91"/>
      <c r="P99" s="92"/>
      <c r="Q99" s="90" t="s">
        <v>913</v>
      </c>
      <c r="R99" s="91"/>
      <c r="S99" s="92"/>
      <c r="U99" s="34"/>
      <c r="V99" s="34"/>
      <c r="W99" s="34"/>
      <c r="X99" s="34"/>
      <c r="Y99" s="34"/>
      <c r="Z99" s="34"/>
      <c r="AA99" s="34"/>
      <c r="AB99" s="34"/>
      <c r="AC99" s="34"/>
    </row>
    <row r="100" spans="2:29" s="7" customFormat="1" x14ac:dyDescent="0.25">
      <c r="B100" s="90" t="s">
        <v>919</v>
      </c>
      <c r="C100" s="91"/>
      <c r="D100" s="91"/>
      <c r="E100" s="92"/>
      <c r="F100" s="99" t="s">
        <v>940</v>
      </c>
      <c r="G100" s="91"/>
      <c r="H100" s="91"/>
      <c r="I100" s="91"/>
      <c r="J100" s="91"/>
      <c r="K100" s="91"/>
      <c r="L100" s="91"/>
      <c r="M100" s="91"/>
      <c r="N100" s="91"/>
      <c r="O100" s="91"/>
      <c r="P100" s="92"/>
      <c r="Q100" s="90" t="s">
        <v>913</v>
      </c>
      <c r="R100" s="91"/>
      <c r="S100" s="92"/>
      <c r="U100" s="34"/>
      <c r="V100" s="34"/>
      <c r="W100" s="34"/>
      <c r="X100" s="34"/>
      <c r="Y100" s="34"/>
      <c r="Z100" s="34"/>
      <c r="AA100" s="34"/>
      <c r="AB100" s="34"/>
      <c r="AC100" s="34"/>
    </row>
    <row r="101" spans="2:29" s="1" customFormat="1" x14ac:dyDescent="0.25">
      <c r="B101" s="7"/>
      <c r="C101" s="7"/>
      <c r="D101" s="7"/>
      <c r="E101" s="7"/>
      <c r="F101" s="7"/>
      <c r="G101" s="7"/>
      <c r="H101" s="7"/>
      <c r="I101" s="7"/>
      <c r="J101" s="7"/>
      <c r="K101" s="7"/>
      <c r="L101" s="7"/>
      <c r="M101" s="7"/>
      <c r="N101" s="7"/>
      <c r="O101" s="7"/>
      <c r="P101" s="7"/>
      <c r="Q101" s="7"/>
      <c r="R101" s="7"/>
      <c r="S101" s="7"/>
      <c r="T101" s="7"/>
      <c r="U101" s="34"/>
      <c r="V101" s="34"/>
      <c r="W101" s="34"/>
      <c r="X101" s="34"/>
      <c r="Y101" s="34"/>
      <c r="Z101" s="34"/>
      <c r="AA101" s="34"/>
      <c r="AB101" s="34"/>
      <c r="AC101" s="34"/>
    </row>
    <row r="102" spans="2:29" s="7" customFormat="1" ht="15" customHeight="1" x14ac:dyDescent="0.25">
      <c r="B102" s="7" t="s">
        <v>930</v>
      </c>
      <c r="U102" s="34"/>
      <c r="V102" s="34"/>
      <c r="W102" s="34"/>
      <c r="X102" s="34"/>
      <c r="Y102" s="34"/>
      <c r="Z102" s="34"/>
      <c r="AA102" s="34"/>
      <c r="AB102" s="34"/>
      <c r="AC102" s="34"/>
    </row>
    <row r="103" spans="2:29" s="7" customFormat="1" ht="15" customHeight="1" x14ac:dyDescent="0.25">
      <c r="B103" s="139" t="s">
        <v>22</v>
      </c>
      <c r="C103" s="140"/>
      <c r="D103" s="140"/>
      <c r="E103" s="141"/>
      <c r="F103" s="139" t="s">
        <v>93</v>
      </c>
      <c r="G103" s="140"/>
      <c r="H103" s="140"/>
      <c r="I103" s="140"/>
      <c r="J103" s="140"/>
      <c r="K103" s="140"/>
      <c r="L103" s="140"/>
      <c r="M103" s="140"/>
      <c r="N103" s="140"/>
      <c r="O103" s="140"/>
      <c r="P103" s="141"/>
      <c r="Q103" s="139" t="s">
        <v>42</v>
      </c>
      <c r="R103" s="140"/>
      <c r="S103" s="141"/>
      <c r="U103" s="34"/>
      <c r="V103" s="34"/>
      <c r="W103" s="34"/>
      <c r="X103" s="34"/>
      <c r="Y103" s="34"/>
      <c r="Z103" s="34"/>
      <c r="AA103" s="34"/>
      <c r="AB103" s="34"/>
      <c r="AC103" s="34"/>
    </row>
    <row r="104" spans="2:29" s="7" customFormat="1" x14ac:dyDescent="0.25">
      <c r="B104" s="90" t="s">
        <v>458</v>
      </c>
      <c r="C104" s="91"/>
      <c r="D104" s="91"/>
      <c r="E104" s="92"/>
      <c r="F104" s="99" t="s">
        <v>931</v>
      </c>
      <c r="G104" s="91"/>
      <c r="H104" s="91"/>
      <c r="I104" s="91"/>
      <c r="J104" s="91"/>
      <c r="K104" s="91"/>
      <c r="L104" s="91"/>
      <c r="M104" s="91"/>
      <c r="N104" s="91"/>
      <c r="O104" s="91"/>
      <c r="P104" s="92"/>
      <c r="Q104" s="90" t="s">
        <v>932</v>
      </c>
      <c r="R104" s="91"/>
      <c r="S104" s="92"/>
      <c r="U104" s="34"/>
      <c r="V104" s="34"/>
      <c r="W104" s="34"/>
      <c r="X104" s="34"/>
      <c r="Y104" s="34"/>
      <c r="Z104" s="34"/>
      <c r="AA104" s="34"/>
      <c r="AB104" s="34"/>
      <c r="AC104" s="34"/>
    </row>
    <row r="105" spans="2:29" s="1" customFormat="1" x14ac:dyDescent="0.25">
      <c r="B105" s="7"/>
      <c r="C105" s="7"/>
      <c r="D105" s="7"/>
      <c r="E105" s="7"/>
      <c r="F105" s="7"/>
      <c r="G105" s="7"/>
      <c r="H105" s="7"/>
      <c r="I105" s="7"/>
      <c r="J105" s="7"/>
      <c r="K105" s="7"/>
      <c r="L105" s="7"/>
      <c r="M105" s="7"/>
      <c r="N105" s="7"/>
      <c r="O105" s="7"/>
      <c r="P105" s="7"/>
      <c r="Q105" s="7"/>
      <c r="R105" s="7"/>
      <c r="S105" s="7"/>
      <c r="T105" s="7"/>
      <c r="U105" s="34"/>
      <c r="V105" s="34"/>
      <c r="W105" s="34"/>
      <c r="X105" s="34"/>
      <c r="Y105" s="34"/>
      <c r="Z105" s="34"/>
      <c r="AA105" s="34"/>
      <c r="AB105" s="34"/>
      <c r="AC105" s="34"/>
    </row>
    <row r="106" spans="2:29" s="5" customFormat="1" x14ac:dyDescent="0.25">
      <c r="B106" s="11"/>
      <c r="C106" s="11"/>
      <c r="D106" s="11"/>
      <c r="E106" s="11"/>
      <c r="F106" s="11"/>
      <c r="G106" s="11"/>
      <c r="H106" s="11"/>
      <c r="I106" s="11"/>
      <c r="J106" s="11"/>
      <c r="K106" s="11"/>
      <c r="L106" s="11"/>
      <c r="M106" s="11"/>
      <c r="N106" s="11"/>
      <c r="O106" s="11"/>
      <c r="P106" s="11"/>
      <c r="Q106" s="11"/>
      <c r="R106" s="11"/>
      <c r="S106" s="11"/>
      <c r="T106" s="11"/>
      <c r="U106" s="33"/>
      <c r="V106" s="33"/>
      <c r="W106" s="33"/>
      <c r="X106" s="33"/>
      <c r="Y106" s="33"/>
      <c r="Z106" s="33"/>
      <c r="AA106" s="33"/>
      <c r="AB106" s="33"/>
      <c r="AC106" s="33"/>
    </row>
    <row r="107" spans="2:29" s="1" customFormat="1" x14ac:dyDescent="0.25">
      <c r="B107" s="164" t="s">
        <v>5</v>
      </c>
      <c r="C107" s="164"/>
      <c r="D107" s="90" t="s">
        <v>941</v>
      </c>
      <c r="E107" s="91"/>
      <c r="F107" s="92"/>
      <c r="U107" s="34"/>
      <c r="V107" s="34"/>
      <c r="W107" s="34"/>
      <c r="X107" s="34"/>
      <c r="Y107" s="34"/>
      <c r="Z107" s="34"/>
      <c r="AA107" s="34"/>
      <c r="AB107" s="34"/>
      <c r="AC107" s="34"/>
    </row>
    <row r="108" spans="2:29" s="1" customFormat="1" x14ac:dyDescent="0.25">
      <c r="B108" s="164" t="s">
        <v>208</v>
      </c>
      <c r="C108" s="164"/>
      <c r="D108" s="90" t="s">
        <v>911</v>
      </c>
      <c r="E108" s="91"/>
      <c r="F108" s="92"/>
      <c r="U108" s="34"/>
      <c r="V108" s="34"/>
      <c r="W108" s="34"/>
      <c r="X108" s="34"/>
      <c r="Y108" s="34"/>
      <c r="Z108" s="34"/>
      <c r="AA108" s="34"/>
      <c r="AB108" s="34"/>
      <c r="AC108" s="34"/>
    </row>
    <row r="109" spans="2:29" s="1" customFormat="1" x14ac:dyDescent="0.25">
      <c r="B109" s="164" t="s">
        <v>17</v>
      </c>
      <c r="C109" s="164"/>
      <c r="D109" s="90" t="s">
        <v>83</v>
      </c>
      <c r="E109" s="91"/>
      <c r="F109" s="92"/>
      <c r="U109" s="34"/>
      <c r="V109" s="34"/>
      <c r="W109" s="34"/>
      <c r="X109" s="34"/>
      <c r="Y109" s="34"/>
      <c r="Z109" s="34"/>
      <c r="AA109" s="34"/>
      <c r="AB109" s="34"/>
      <c r="AC109" s="34"/>
    </row>
    <row r="110" spans="2:29" s="1" customFormat="1" x14ac:dyDescent="0.25">
      <c r="B110" s="164" t="s">
        <v>912</v>
      </c>
      <c r="C110" s="164"/>
      <c r="D110" s="90" t="s">
        <v>913</v>
      </c>
      <c r="E110" s="91"/>
      <c r="F110" s="92"/>
      <c r="U110" s="34"/>
      <c r="V110" s="34"/>
      <c r="W110" s="34"/>
      <c r="X110" s="34"/>
      <c r="Y110" s="34"/>
      <c r="Z110" s="34"/>
      <c r="AA110" s="34"/>
      <c r="AB110" s="34"/>
      <c r="AC110" s="34"/>
    </row>
    <row r="111" spans="2:29" s="1" customFormat="1" x14ac:dyDescent="0.25">
      <c r="B111" s="7"/>
      <c r="C111" s="7"/>
      <c r="D111" s="7"/>
      <c r="E111" s="7"/>
      <c r="F111" s="7"/>
      <c r="G111" s="7"/>
      <c r="H111" s="7"/>
      <c r="I111" s="7"/>
      <c r="J111" s="7"/>
      <c r="K111" s="7"/>
      <c r="L111" s="7"/>
      <c r="M111" s="7"/>
      <c r="N111" s="7"/>
      <c r="O111" s="7"/>
      <c r="P111" s="7"/>
      <c r="Q111" s="7"/>
      <c r="R111" s="7"/>
      <c r="S111" s="7"/>
      <c r="T111" s="7"/>
      <c r="U111" s="34"/>
      <c r="V111" s="34"/>
      <c r="W111" s="34"/>
      <c r="X111" s="34"/>
      <c r="Y111" s="34"/>
      <c r="Z111" s="34"/>
      <c r="AA111" s="34"/>
      <c r="AB111" s="34"/>
      <c r="AC111" s="34"/>
    </row>
    <row r="112" spans="2:29" s="1" customFormat="1" x14ac:dyDescent="0.25">
      <c r="B112" s="7" t="s">
        <v>915</v>
      </c>
      <c r="C112" s="7"/>
      <c r="D112" s="7"/>
      <c r="E112" s="7"/>
      <c r="F112" s="7"/>
      <c r="G112" s="7"/>
      <c r="H112" s="7"/>
      <c r="I112" s="7"/>
      <c r="J112" s="7"/>
      <c r="K112" s="7"/>
      <c r="L112" s="7"/>
      <c r="M112" s="7"/>
      <c r="N112" s="7"/>
      <c r="O112" s="7"/>
      <c r="P112" s="7"/>
      <c r="Q112" s="7"/>
      <c r="R112" s="7"/>
      <c r="S112" s="7"/>
      <c r="T112" s="7"/>
      <c r="U112" s="34"/>
      <c r="V112" s="34"/>
      <c r="W112" s="34"/>
      <c r="X112" s="34"/>
      <c r="Y112" s="34"/>
      <c r="Z112" s="34"/>
      <c r="AA112" s="34"/>
      <c r="AB112" s="34"/>
      <c r="AC112" s="34"/>
    </row>
    <row r="113" spans="1:29" s="1" customFormat="1" x14ac:dyDescent="0.25">
      <c r="B113" s="83" t="s">
        <v>22</v>
      </c>
      <c r="C113" s="78" t="s">
        <v>23</v>
      </c>
      <c r="D113" s="83" t="s">
        <v>255</v>
      </c>
      <c r="E113" s="83" t="s">
        <v>254</v>
      </c>
      <c r="F113" s="78" t="s">
        <v>68</v>
      </c>
      <c r="G113" s="78" t="s">
        <v>24</v>
      </c>
      <c r="I113" s="7"/>
      <c r="U113" s="34"/>
      <c r="V113" s="34"/>
      <c r="W113" s="34"/>
      <c r="X113" s="34"/>
      <c r="Y113" s="34"/>
      <c r="Z113" s="34"/>
      <c r="AA113" s="34"/>
      <c r="AB113" s="34"/>
      <c r="AC113" s="34"/>
    </row>
    <row r="114" spans="1:29" s="1" customFormat="1" x14ac:dyDescent="0.25">
      <c r="B114" s="83" t="s">
        <v>25</v>
      </c>
      <c r="C114" s="80">
        <v>11</v>
      </c>
      <c r="D114" s="77">
        <v>0</v>
      </c>
      <c r="E114" s="32">
        <v>0</v>
      </c>
      <c r="F114" s="24">
        <f>(C114+D114+E114+6)</f>
        <v>17</v>
      </c>
      <c r="G114" s="76">
        <f>FLOOR((F114-10)/2,1)</f>
        <v>3</v>
      </c>
      <c r="U114" s="34"/>
      <c r="V114" s="34"/>
      <c r="W114" s="34"/>
      <c r="X114" s="34"/>
      <c r="Y114" s="34"/>
      <c r="Z114" s="34"/>
      <c r="AA114" s="34"/>
      <c r="AB114" s="34"/>
      <c r="AC114" s="34"/>
    </row>
    <row r="115" spans="1:29" s="1" customFormat="1" x14ac:dyDescent="0.25">
      <c r="B115" s="83" t="s">
        <v>26</v>
      </c>
      <c r="C115" s="80">
        <v>17</v>
      </c>
      <c r="D115" s="77">
        <v>0</v>
      </c>
      <c r="E115" s="32">
        <v>0</v>
      </c>
      <c r="F115" s="24">
        <f t="shared" ref="F115" si="4">(C115+D115+E115)</f>
        <v>17</v>
      </c>
      <c r="G115" s="76">
        <f t="shared" ref="G115:G116" si="5">FLOOR((F115-10)/2,1)</f>
        <v>3</v>
      </c>
      <c r="U115" s="34"/>
      <c r="V115" s="34"/>
      <c r="W115" s="34"/>
      <c r="X115" s="34"/>
      <c r="Y115" s="34"/>
      <c r="Z115" s="34"/>
      <c r="AA115" s="34"/>
      <c r="AB115" s="34"/>
      <c r="AC115" s="34"/>
    </row>
    <row r="116" spans="1:29" s="1" customFormat="1" x14ac:dyDescent="0.25">
      <c r="B116" s="8" t="s">
        <v>27</v>
      </c>
      <c r="C116" s="80">
        <v>12</v>
      </c>
      <c r="D116" s="77">
        <v>0</v>
      </c>
      <c r="E116" s="32">
        <v>0</v>
      </c>
      <c r="F116" s="24">
        <f>(C116+D116+E116+6)</f>
        <v>18</v>
      </c>
      <c r="G116" s="76">
        <f t="shared" si="5"/>
        <v>4</v>
      </c>
      <c r="U116" s="34"/>
      <c r="V116" s="34"/>
      <c r="W116" s="34"/>
      <c r="X116" s="34"/>
      <c r="Y116" s="34"/>
      <c r="Z116" s="34"/>
      <c r="AA116" s="34"/>
      <c r="AB116" s="34"/>
      <c r="AC116" s="34"/>
    </row>
    <row r="117" spans="1:29" s="1" customFormat="1" x14ac:dyDescent="0.25">
      <c r="B117" s="7"/>
      <c r="C117" s="7"/>
      <c r="D117" s="7"/>
      <c r="E117" s="7"/>
      <c r="F117" s="7"/>
      <c r="G117" s="7"/>
      <c r="H117" s="7"/>
      <c r="I117" s="7"/>
      <c r="J117" s="7"/>
      <c r="K117" s="7"/>
      <c r="L117" s="7"/>
      <c r="M117" s="7"/>
      <c r="N117" s="7"/>
      <c r="O117" s="7"/>
      <c r="P117" s="7"/>
      <c r="Q117" s="7"/>
      <c r="R117" s="7"/>
      <c r="S117" s="7"/>
      <c r="T117" s="7"/>
      <c r="U117" s="34"/>
      <c r="V117" s="34"/>
      <c r="W117" s="34"/>
      <c r="X117" s="34"/>
      <c r="Y117" s="34"/>
      <c r="Z117" s="34"/>
      <c r="AA117" s="34"/>
      <c r="AB117" s="34"/>
      <c r="AC117" s="34"/>
    </row>
    <row r="118" spans="1:29" s="1" customFormat="1" x14ac:dyDescent="0.25">
      <c r="B118" s="7" t="s">
        <v>934</v>
      </c>
      <c r="U118" s="34"/>
      <c r="V118" s="34"/>
      <c r="W118" s="34"/>
      <c r="X118" s="34"/>
      <c r="Y118" s="34"/>
      <c r="Z118" s="34"/>
      <c r="AA118" s="34"/>
      <c r="AB118" s="34"/>
      <c r="AC118" s="34"/>
    </row>
    <row r="119" spans="1:29" s="7" customFormat="1" x14ac:dyDescent="0.25">
      <c r="B119" s="83" t="s">
        <v>31</v>
      </c>
      <c r="C119" s="25">
        <f>(F119+I119+L119+O119)</f>
        <v>9</v>
      </c>
      <c r="D119" s="111" t="s">
        <v>34</v>
      </c>
      <c r="E119" s="111"/>
      <c r="F119" s="81">
        <v>5</v>
      </c>
      <c r="G119" s="215" t="s">
        <v>935</v>
      </c>
      <c r="H119" s="216"/>
      <c r="I119" s="25">
        <f>G116</f>
        <v>4</v>
      </c>
      <c r="J119" s="111" t="s">
        <v>936</v>
      </c>
      <c r="K119" s="111"/>
      <c r="L119" s="214"/>
      <c r="M119" s="111" t="s">
        <v>937</v>
      </c>
      <c r="N119" s="111"/>
      <c r="O119" s="214"/>
      <c r="U119" s="34"/>
      <c r="V119" s="34"/>
      <c r="W119" s="34"/>
      <c r="X119" s="34"/>
      <c r="Y119" s="34"/>
      <c r="Z119" s="34"/>
      <c r="AA119" s="34"/>
      <c r="AB119" s="34"/>
      <c r="AC119" s="34"/>
    </row>
    <row r="120" spans="1:29" s="7" customFormat="1" x14ac:dyDescent="0.25">
      <c r="B120" s="78" t="s">
        <v>32</v>
      </c>
      <c r="C120" s="25">
        <f>(F120+I120+L120+O120)</f>
        <v>6</v>
      </c>
      <c r="D120" s="111" t="s">
        <v>34</v>
      </c>
      <c r="E120" s="111"/>
      <c r="F120" s="81">
        <v>3</v>
      </c>
      <c r="G120" s="164" t="s">
        <v>70</v>
      </c>
      <c r="H120" s="164"/>
      <c r="I120" s="25">
        <f>IF(G115&gt;G132,G132,G115)</f>
        <v>3</v>
      </c>
      <c r="J120" s="111" t="s">
        <v>936</v>
      </c>
      <c r="K120" s="111"/>
      <c r="L120" s="214"/>
      <c r="M120" s="111" t="s">
        <v>937</v>
      </c>
      <c r="N120" s="111"/>
      <c r="O120" s="214"/>
      <c r="U120" s="34"/>
      <c r="V120" s="34"/>
      <c r="W120" s="34"/>
      <c r="X120" s="34"/>
      <c r="Y120" s="34"/>
      <c r="Z120" s="34"/>
      <c r="AA120" s="34"/>
      <c r="AB120" s="34"/>
      <c r="AC120" s="34"/>
    </row>
    <row r="121" spans="1:29" s="7" customFormat="1" x14ac:dyDescent="0.25">
      <c r="B121" s="78" t="s">
        <v>33</v>
      </c>
      <c r="C121" s="25">
        <f>(F121+I121+L121+O121)</f>
        <v>5</v>
      </c>
      <c r="D121" s="111" t="s">
        <v>34</v>
      </c>
      <c r="E121" s="111"/>
      <c r="F121" s="81">
        <v>1</v>
      </c>
      <c r="G121" s="164" t="s">
        <v>935</v>
      </c>
      <c r="H121" s="164"/>
      <c r="I121" s="25">
        <f>G116</f>
        <v>4</v>
      </c>
      <c r="J121" s="111" t="s">
        <v>936</v>
      </c>
      <c r="K121" s="111"/>
      <c r="L121" s="214"/>
      <c r="M121" s="111" t="s">
        <v>937</v>
      </c>
      <c r="N121" s="111"/>
      <c r="O121" s="214"/>
      <c r="U121" s="34"/>
      <c r="V121" s="34"/>
      <c r="W121" s="34"/>
      <c r="X121" s="34"/>
      <c r="Y121" s="34"/>
      <c r="Z121" s="34"/>
      <c r="AA121" s="34"/>
      <c r="AB121" s="34"/>
      <c r="AC121" s="34"/>
    </row>
    <row r="122" spans="1:29" s="1" customFormat="1" x14ac:dyDescent="0.25">
      <c r="U122" s="34"/>
      <c r="V122" s="34"/>
      <c r="W122" s="34"/>
      <c r="X122" s="34"/>
      <c r="Y122" s="34"/>
      <c r="Z122" s="34"/>
      <c r="AA122" s="34"/>
      <c r="AB122" s="34"/>
      <c r="AC122" s="34"/>
    </row>
    <row r="123" spans="1:29" s="1" customFormat="1" x14ac:dyDescent="0.25">
      <c r="B123" s="7" t="s">
        <v>916</v>
      </c>
      <c r="C123" s="7"/>
      <c r="D123" s="7"/>
      <c r="E123" s="7"/>
      <c r="F123" s="7"/>
      <c r="G123" s="7"/>
      <c r="H123" s="7"/>
      <c r="I123" s="7"/>
      <c r="J123" s="7"/>
      <c r="K123" s="7"/>
      <c r="L123" s="7"/>
      <c r="M123" s="7"/>
      <c r="N123" s="7"/>
      <c r="O123" s="7"/>
      <c r="P123" s="7"/>
      <c r="Q123" s="7"/>
      <c r="R123" s="7"/>
      <c r="S123" s="7"/>
      <c r="T123" s="7"/>
      <c r="U123" s="34"/>
      <c r="V123" s="34"/>
      <c r="W123" s="34"/>
      <c r="X123" s="34"/>
      <c r="Y123" s="34"/>
      <c r="Z123" s="34"/>
      <c r="AA123" s="34"/>
      <c r="AB123" s="34"/>
      <c r="AC123" s="34"/>
    </row>
    <row r="124" spans="1:29" s="1" customFormat="1" x14ac:dyDescent="0.25">
      <c r="A124" s="7"/>
      <c r="B124" s="85" t="s">
        <v>74</v>
      </c>
      <c r="C124" s="85"/>
      <c r="D124" s="27">
        <f>(G115+J124)</f>
        <v>3</v>
      </c>
      <c r="E124" s="85" t="s">
        <v>70</v>
      </c>
      <c r="F124" s="85"/>
      <c r="G124" s="27">
        <f>IF(G115&gt;G132,G132,G115)</f>
        <v>3</v>
      </c>
      <c r="H124" s="85" t="s">
        <v>39</v>
      </c>
      <c r="I124" s="85"/>
      <c r="J124" s="203"/>
      <c r="K124" s="7"/>
      <c r="L124" s="7"/>
      <c r="M124" s="7"/>
      <c r="N124" s="7"/>
      <c r="O124" s="7"/>
      <c r="P124" s="7"/>
      <c r="Q124" s="7"/>
      <c r="R124" s="7"/>
      <c r="S124" s="7"/>
      <c r="T124" s="7"/>
      <c r="U124" s="34"/>
      <c r="V124" s="34"/>
      <c r="W124" s="34"/>
      <c r="X124" s="34"/>
      <c r="Y124" s="34"/>
      <c r="Z124" s="34"/>
      <c r="AA124" s="34"/>
      <c r="AB124" s="34"/>
      <c r="AC124" s="34"/>
    </row>
    <row r="125" spans="1:29" s="1" customFormat="1" x14ac:dyDescent="0.25">
      <c r="A125" s="7"/>
      <c r="B125" s="7"/>
      <c r="C125" s="7"/>
      <c r="D125" s="7"/>
      <c r="E125" s="7"/>
      <c r="F125" s="7"/>
      <c r="G125" s="7"/>
      <c r="H125" s="7"/>
      <c r="I125" s="7"/>
      <c r="J125" s="7"/>
      <c r="K125" s="7"/>
      <c r="L125" s="7"/>
      <c r="M125" s="7"/>
      <c r="N125" s="7"/>
      <c r="O125" s="7"/>
      <c r="P125" s="7"/>
      <c r="Q125" s="7"/>
      <c r="R125" s="7"/>
      <c r="S125" s="7"/>
      <c r="T125" s="7"/>
      <c r="U125" s="34"/>
      <c r="V125" s="34"/>
      <c r="W125" s="34"/>
      <c r="X125" s="34"/>
      <c r="Y125" s="34"/>
      <c r="Z125" s="34"/>
      <c r="AA125" s="34"/>
      <c r="AB125" s="34"/>
      <c r="AC125" s="34"/>
    </row>
    <row r="126" spans="1:29" s="1" customFormat="1" x14ac:dyDescent="0.25">
      <c r="A126" s="7"/>
      <c r="B126" s="131" t="s">
        <v>75</v>
      </c>
      <c r="C126" s="133"/>
      <c r="D126" s="29">
        <f>(G126+J126+M126+P126)</f>
        <v>6</v>
      </c>
      <c r="E126" s="131" t="s">
        <v>71</v>
      </c>
      <c r="F126" s="133"/>
      <c r="G126" s="27">
        <v>3</v>
      </c>
      <c r="H126" s="131" t="s">
        <v>72</v>
      </c>
      <c r="I126" s="133"/>
      <c r="J126" s="29">
        <f>G114</f>
        <v>3</v>
      </c>
      <c r="K126" s="131" t="s">
        <v>73</v>
      </c>
      <c r="L126" s="133"/>
      <c r="M126" s="29">
        <f>VLOOKUP(D109,SizeTable,2,FALSE)</f>
        <v>0</v>
      </c>
      <c r="N126" s="131" t="s">
        <v>39</v>
      </c>
      <c r="O126" s="133"/>
      <c r="P126" s="27"/>
      <c r="Q126" s="7"/>
      <c r="R126" s="7"/>
      <c r="S126" s="7"/>
      <c r="T126" s="7"/>
      <c r="U126" s="34"/>
      <c r="V126" s="34"/>
      <c r="W126" s="34"/>
      <c r="X126" s="34"/>
      <c r="Y126" s="34"/>
      <c r="Z126" s="34"/>
      <c r="AA126" s="34"/>
      <c r="AB126" s="34"/>
      <c r="AC126" s="34"/>
    </row>
    <row r="127" spans="1:29" s="1" customFormat="1" x14ac:dyDescent="0.25">
      <c r="A127" s="7"/>
      <c r="B127" s="131" t="s">
        <v>76</v>
      </c>
      <c r="C127" s="133"/>
      <c r="D127" s="29">
        <f>(G127+J127+M127+P127)</f>
        <v>4</v>
      </c>
      <c r="E127" s="131" t="s">
        <v>71</v>
      </c>
      <c r="F127" s="133"/>
      <c r="G127" s="29">
        <f>G126</f>
        <v>3</v>
      </c>
      <c r="H127" s="131" t="s">
        <v>36</v>
      </c>
      <c r="I127" s="133"/>
      <c r="J127" s="29">
        <f>IF(G115&gt;G132,G132,G115)</f>
        <v>3</v>
      </c>
      <c r="K127" s="131" t="s">
        <v>73</v>
      </c>
      <c r="L127" s="133"/>
      <c r="M127" s="29">
        <f>VLOOKUP(D109,SizeTable,2,FALSE)</f>
        <v>0</v>
      </c>
      <c r="N127" s="131" t="s">
        <v>39</v>
      </c>
      <c r="O127" s="133"/>
      <c r="P127" s="27">
        <v>-2</v>
      </c>
      <c r="Q127" s="7"/>
      <c r="R127" s="7"/>
      <c r="S127" s="7"/>
      <c r="T127" s="7"/>
      <c r="U127" s="34"/>
      <c r="V127" s="34"/>
      <c r="W127" s="34"/>
      <c r="X127" s="34"/>
      <c r="Y127" s="34"/>
      <c r="Z127" s="34"/>
      <c r="AA127" s="34"/>
      <c r="AB127" s="34"/>
      <c r="AC127" s="34"/>
    </row>
    <row r="128" spans="1:29" s="1" customFormat="1" x14ac:dyDescent="0.25">
      <c r="A128" s="7"/>
      <c r="B128" s="131" t="s">
        <v>77</v>
      </c>
      <c r="C128" s="133"/>
      <c r="D128" s="29">
        <f>(G128+J128+M128+P128)</f>
        <v>6</v>
      </c>
      <c r="E128" s="131" t="s">
        <v>71</v>
      </c>
      <c r="F128" s="133"/>
      <c r="G128" s="29">
        <f>G127</f>
        <v>3</v>
      </c>
      <c r="H128" s="131" t="s">
        <v>72</v>
      </c>
      <c r="I128" s="133"/>
      <c r="J128" s="29">
        <f>G114</f>
        <v>3</v>
      </c>
      <c r="K128" s="131" t="s">
        <v>73</v>
      </c>
      <c r="L128" s="133"/>
      <c r="M128" s="29">
        <f>LOOKUP(VLOOKUP(D109,SizeTable,2,FALSE), {-8,-4,-2,-1,0,1,2,4,8},{16,12,8,4,0,-4,-8,-12,-16})</f>
        <v>0</v>
      </c>
      <c r="N128" s="131" t="s">
        <v>39</v>
      </c>
      <c r="O128" s="133"/>
      <c r="P128" s="27"/>
      <c r="Q128" s="7"/>
      <c r="R128" s="7"/>
      <c r="S128" s="7"/>
      <c r="T128" s="7"/>
      <c r="U128" s="34"/>
      <c r="V128" s="34"/>
      <c r="W128" s="34"/>
      <c r="X128" s="34"/>
      <c r="Y128" s="34"/>
      <c r="Z128" s="34"/>
      <c r="AA128" s="34"/>
      <c r="AB128" s="34"/>
      <c r="AC128" s="34"/>
    </row>
    <row r="129" spans="1:29" s="1" customFormat="1" x14ac:dyDescent="0.25">
      <c r="A129" s="7"/>
      <c r="B129" s="7"/>
      <c r="C129" s="7"/>
      <c r="D129" s="7"/>
      <c r="E129" s="7"/>
      <c r="F129" s="7"/>
      <c r="G129" s="7"/>
      <c r="H129" s="7"/>
      <c r="I129" s="7"/>
      <c r="J129" s="34"/>
      <c r="K129" s="7"/>
      <c r="L129" s="7"/>
      <c r="M129" s="34"/>
      <c r="N129" s="7"/>
      <c r="O129" s="7"/>
      <c r="P129" s="34"/>
      <c r="Q129" s="7"/>
      <c r="R129" s="7"/>
      <c r="S129" s="7"/>
      <c r="T129" s="7"/>
      <c r="U129" s="34"/>
      <c r="V129" s="34"/>
      <c r="W129" s="34"/>
      <c r="X129" s="34"/>
      <c r="Y129" s="34"/>
      <c r="Z129" s="34"/>
      <c r="AA129" s="34"/>
      <c r="AB129" s="34"/>
      <c r="AC129" s="34"/>
    </row>
    <row r="130" spans="1:29" s="1" customFormat="1" x14ac:dyDescent="0.25">
      <c r="A130" s="7"/>
      <c r="B130" s="85" t="s">
        <v>10</v>
      </c>
      <c r="C130" s="85"/>
      <c r="D130" s="29">
        <f>(10+G130+J130+M130+P130+J131+M131+P131+M132)</f>
        <v>14</v>
      </c>
      <c r="E130" s="85" t="s">
        <v>78</v>
      </c>
      <c r="F130" s="85"/>
      <c r="G130" s="29">
        <v>0</v>
      </c>
      <c r="H130" s="85" t="s">
        <v>36</v>
      </c>
      <c r="I130" s="85"/>
      <c r="J130" s="29">
        <f>IF(G115&gt;G132,G132,G115)</f>
        <v>3</v>
      </c>
      <c r="K130" s="85" t="s">
        <v>73</v>
      </c>
      <c r="L130" s="85"/>
      <c r="M130" s="29">
        <f>VLOOKUP(D109,SizeTable,2,FALSE)</f>
        <v>0</v>
      </c>
      <c r="N130" s="85" t="s">
        <v>79</v>
      </c>
      <c r="O130" s="85"/>
      <c r="P130" s="27">
        <v>0</v>
      </c>
      <c r="Q130" s="7"/>
      <c r="R130" s="7"/>
      <c r="S130" s="7"/>
      <c r="T130" s="7"/>
      <c r="U130" s="34"/>
      <c r="V130" s="34"/>
      <c r="W130" s="34"/>
      <c r="X130" s="34"/>
      <c r="Y130" s="34"/>
      <c r="Z130" s="34"/>
      <c r="AA130" s="34"/>
      <c r="AB130" s="34"/>
      <c r="AC130" s="34"/>
    </row>
    <row r="131" spans="1:29" s="1" customFormat="1" x14ac:dyDescent="0.25">
      <c r="A131" s="7"/>
      <c r="B131" s="131" t="s">
        <v>82</v>
      </c>
      <c r="C131" s="133"/>
      <c r="D131" s="29">
        <f>(10+J130+M130+J131+P131+M132)</f>
        <v>13</v>
      </c>
      <c r="E131" s="94" t="s">
        <v>177</v>
      </c>
      <c r="F131" s="96"/>
      <c r="G131" s="29">
        <f>(10+G130+M130+P130+J131+M131+P131)</f>
        <v>11</v>
      </c>
      <c r="H131" s="149" t="s">
        <v>81</v>
      </c>
      <c r="I131" s="150"/>
      <c r="J131" s="27">
        <v>0</v>
      </c>
      <c r="K131" s="85" t="s">
        <v>80</v>
      </c>
      <c r="L131" s="85"/>
      <c r="M131" s="27">
        <v>1</v>
      </c>
      <c r="N131" s="85" t="s">
        <v>39</v>
      </c>
      <c r="O131" s="85"/>
      <c r="P131" s="27">
        <v>0</v>
      </c>
      <c r="Q131" s="7"/>
      <c r="R131" s="7"/>
      <c r="S131" s="7"/>
      <c r="T131" s="7"/>
      <c r="U131" s="34"/>
      <c r="V131" s="34"/>
      <c r="W131" s="34"/>
      <c r="X131" s="34"/>
      <c r="Y131" s="34"/>
      <c r="Z131" s="34"/>
      <c r="AA131" s="34"/>
      <c r="AB131" s="34"/>
      <c r="AC131" s="34"/>
    </row>
    <row r="132" spans="1:29" s="1" customFormat="1" x14ac:dyDescent="0.25">
      <c r="A132" s="7"/>
      <c r="B132" s="189" t="s">
        <v>14</v>
      </c>
      <c r="C132" s="189"/>
      <c r="D132" s="79" t="e">
        <f>IF((SUM(#REF!)+SUM(N3:N4))&gt;R114,R114,(SUM(#REF!)+SUM(N3:N4)))</f>
        <v>#REF!</v>
      </c>
      <c r="E132" s="131" t="s">
        <v>15</v>
      </c>
      <c r="F132" s="133"/>
      <c r="G132" s="29" t="s">
        <v>1</v>
      </c>
      <c r="H132" s="149" t="s">
        <v>16</v>
      </c>
      <c r="I132" s="150"/>
      <c r="J132" s="30">
        <v>0</v>
      </c>
      <c r="K132" s="131" t="s">
        <v>84</v>
      </c>
      <c r="L132" s="133"/>
      <c r="M132" s="27">
        <v>0</v>
      </c>
      <c r="N132" s="7"/>
      <c r="O132" s="7"/>
      <c r="P132" s="7"/>
      <c r="Q132" s="7"/>
      <c r="R132" s="7"/>
      <c r="S132" s="7"/>
      <c r="T132" s="7"/>
      <c r="U132" s="34"/>
      <c r="V132" s="34"/>
      <c r="W132" s="34"/>
      <c r="X132" s="34"/>
      <c r="Y132" s="34"/>
      <c r="Z132" s="34"/>
      <c r="AA132" s="34"/>
      <c r="AB132" s="34"/>
      <c r="AC132" s="34"/>
    </row>
    <row r="133" spans="1:29" s="1" customFormat="1" x14ac:dyDescent="0.25">
      <c r="A133" s="7"/>
      <c r="B133" s="105" t="s">
        <v>243</v>
      </c>
      <c r="C133" s="107"/>
      <c r="D133" s="207"/>
      <c r="E133" s="208"/>
      <c r="F133" s="208"/>
      <c r="G133" s="208"/>
      <c r="H133" s="208"/>
      <c r="I133" s="208"/>
      <c r="J133" s="208"/>
      <c r="K133" s="208"/>
      <c r="L133" s="208"/>
      <c r="M133" s="208"/>
      <c r="N133" s="208"/>
      <c r="O133" s="208"/>
      <c r="P133" s="209"/>
      <c r="Q133" s="7"/>
      <c r="R133" s="7"/>
      <c r="S133" s="7"/>
      <c r="T133" s="7"/>
      <c r="U133" s="34"/>
      <c r="V133" s="34"/>
      <c r="W133" s="34"/>
      <c r="X133" s="34"/>
      <c r="Y133" s="34"/>
      <c r="Z133" s="34"/>
      <c r="AA133" s="34"/>
      <c r="AB133" s="34"/>
      <c r="AC133" s="34"/>
    </row>
    <row r="134" spans="1:29" s="1" customFormat="1" x14ac:dyDescent="0.25">
      <c r="A134" s="7"/>
      <c r="B134" s="7"/>
      <c r="C134" s="7"/>
      <c r="D134" s="7"/>
      <c r="E134" s="7"/>
      <c r="F134" s="7"/>
      <c r="G134" s="7"/>
      <c r="H134" s="7"/>
      <c r="I134" s="7"/>
      <c r="J134" s="7"/>
      <c r="K134" s="7"/>
      <c r="L134" s="7"/>
      <c r="M134" s="7"/>
      <c r="N134" s="7"/>
      <c r="O134" s="7"/>
      <c r="P134" s="7"/>
      <c r="Q134" s="7"/>
      <c r="R134" s="7"/>
      <c r="S134" s="7"/>
      <c r="T134" s="7"/>
      <c r="U134" s="34"/>
      <c r="V134" s="34"/>
      <c r="W134" s="34"/>
      <c r="X134" s="34"/>
      <c r="Y134" s="34"/>
      <c r="Z134" s="34"/>
      <c r="AA134" s="34"/>
      <c r="AB134" s="34"/>
      <c r="AC134" s="34"/>
    </row>
    <row r="135" spans="1:29" s="1" customFormat="1" x14ac:dyDescent="0.25">
      <c r="A135" s="7"/>
      <c r="B135" s="85" t="s">
        <v>85</v>
      </c>
      <c r="C135" s="85"/>
      <c r="D135" s="97" t="s">
        <v>917</v>
      </c>
      <c r="E135" s="148"/>
      <c r="F135" s="98"/>
      <c r="G135" s="85" t="s">
        <v>86</v>
      </c>
      <c r="H135" s="85"/>
      <c r="I135" s="27">
        <f>D126</f>
        <v>6</v>
      </c>
      <c r="J135" s="82" t="s">
        <v>87</v>
      </c>
      <c r="K135" s="27">
        <f>G114</f>
        <v>3</v>
      </c>
      <c r="L135" s="82" t="s">
        <v>88</v>
      </c>
      <c r="M135" s="27" t="s">
        <v>918</v>
      </c>
      <c r="N135" s="7"/>
      <c r="O135" s="7"/>
      <c r="P135" s="7"/>
      <c r="Q135" s="7"/>
      <c r="R135" s="7"/>
      <c r="S135" s="7"/>
      <c r="T135" s="7"/>
      <c r="U135" s="34"/>
      <c r="V135" s="34"/>
      <c r="W135" s="34"/>
      <c r="X135" s="34"/>
      <c r="Y135" s="34"/>
      <c r="Z135" s="34"/>
      <c r="AA135" s="34"/>
      <c r="AB135" s="34"/>
      <c r="AC135" s="34"/>
    </row>
    <row r="136" spans="1:29" s="1" customFormat="1" x14ac:dyDescent="0.25">
      <c r="A136" s="7"/>
      <c r="B136" s="85" t="s">
        <v>90</v>
      </c>
      <c r="C136" s="85"/>
      <c r="D136" s="97" t="s">
        <v>919</v>
      </c>
      <c r="E136" s="148"/>
      <c r="F136" s="98"/>
      <c r="G136" s="85" t="s">
        <v>86</v>
      </c>
      <c r="H136" s="85"/>
      <c r="I136" s="27">
        <f>D127</f>
        <v>4</v>
      </c>
      <c r="J136" s="82" t="s">
        <v>87</v>
      </c>
      <c r="K136" s="27" t="s">
        <v>1</v>
      </c>
      <c r="L136" s="82" t="s">
        <v>88</v>
      </c>
      <c r="M136" s="27" t="s">
        <v>1</v>
      </c>
      <c r="N136" s="85" t="s">
        <v>89</v>
      </c>
      <c r="O136" s="85"/>
      <c r="P136" s="27" t="s">
        <v>920</v>
      </c>
      <c r="Q136" s="7"/>
      <c r="R136" s="7"/>
      <c r="S136" s="7"/>
      <c r="T136" s="7"/>
      <c r="U136" s="34"/>
      <c r="V136" s="34"/>
      <c r="W136" s="34"/>
      <c r="X136" s="34"/>
      <c r="Y136" s="34"/>
      <c r="Z136" s="34"/>
      <c r="AA136" s="34"/>
      <c r="AB136" s="34"/>
      <c r="AC136" s="34"/>
    </row>
    <row r="137" spans="1:29" s="1" customFormat="1" x14ac:dyDescent="0.25">
      <c r="B137" s="7"/>
      <c r="C137" s="7"/>
      <c r="D137" s="7"/>
      <c r="E137" s="7"/>
      <c r="F137" s="7"/>
      <c r="G137" s="7"/>
      <c r="H137" s="7"/>
      <c r="I137" s="7"/>
      <c r="J137" s="7"/>
      <c r="K137" s="7"/>
      <c r="L137" s="7"/>
      <c r="M137" s="7"/>
      <c r="N137" s="7"/>
      <c r="O137" s="7"/>
      <c r="P137" s="7"/>
      <c r="Q137" s="7"/>
      <c r="R137" s="7"/>
      <c r="S137" s="7"/>
      <c r="T137" s="7"/>
      <c r="U137" s="34"/>
      <c r="V137" s="34"/>
      <c r="W137" s="34"/>
      <c r="X137" s="34"/>
      <c r="Y137" s="34"/>
      <c r="Z137" s="34"/>
      <c r="AA137" s="34"/>
      <c r="AB137" s="34"/>
      <c r="AC137" s="34"/>
    </row>
    <row r="138" spans="1:29" s="1" customFormat="1" x14ac:dyDescent="0.25">
      <c r="B138" s="7" t="s">
        <v>938</v>
      </c>
      <c r="C138" s="7"/>
      <c r="D138" s="7"/>
      <c r="E138" s="7"/>
      <c r="F138" s="7"/>
      <c r="G138" s="7"/>
      <c r="H138" s="7"/>
      <c r="I138" s="7"/>
      <c r="J138" s="7"/>
      <c r="K138" s="7"/>
      <c r="L138" s="7"/>
      <c r="M138" s="7"/>
      <c r="N138" s="7"/>
      <c r="O138" s="7"/>
      <c r="P138" s="7"/>
      <c r="Q138" s="7"/>
      <c r="R138" s="7"/>
      <c r="S138" s="7"/>
      <c r="T138" s="7"/>
      <c r="U138" s="34"/>
      <c r="V138" s="34"/>
      <c r="W138" s="34"/>
      <c r="X138" s="34"/>
      <c r="Y138" s="34"/>
      <c r="Z138" s="34"/>
      <c r="AA138" s="34"/>
      <c r="AB138" s="34"/>
      <c r="AC138" s="34"/>
    </row>
    <row r="139" spans="1:29" s="7" customFormat="1" x14ac:dyDescent="0.25">
      <c r="B139" s="111" t="s">
        <v>62</v>
      </c>
      <c r="C139" s="111"/>
      <c r="D139" s="111"/>
      <c r="E139" s="111" t="s">
        <v>63</v>
      </c>
      <c r="F139" s="111"/>
      <c r="G139" s="111"/>
      <c r="H139" s="111" t="s">
        <v>64</v>
      </c>
      <c r="I139" s="111"/>
      <c r="J139" s="111"/>
      <c r="K139" s="111" t="s">
        <v>65</v>
      </c>
      <c r="L139" s="111"/>
      <c r="M139" s="111" t="s">
        <v>60</v>
      </c>
      <c r="N139" s="111"/>
      <c r="O139" s="111"/>
      <c r="P139" s="111" t="s">
        <v>61</v>
      </c>
      <c r="Q139" s="111"/>
      <c r="U139" s="34"/>
      <c r="V139" s="34"/>
      <c r="W139" s="34"/>
      <c r="X139" s="34"/>
      <c r="Y139" s="34"/>
      <c r="Z139" s="34"/>
      <c r="AA139" s="34"/>
      <c r="AB139" s="34"/>
      <c r="AC139" s="34"/>
    </row>
    <row r="140" spans="1:29" s="1" customFormat="1" x14ac:dyDescent="0.25">
      <c r="B140" s="154">
        <f>LOOKUP(F114, {1,2,3,4,5,6,7,8,9,10,11,12,13,14,15,16,17,18,19,20,21,22,23,24,25,26,27,28,29,30,31,32,33,34,35,36,37,38,39,40}, {3,6,10,13,16,20,23,26,30,33,38,43,50,58,66,76,86,100,116,133,153,173,200,233,266,306,346,400,466,532,612,692,800,932,1064,1224,1384,1600,1864,2128})</f>
        <v>86</v>
      </c>
      <c r="C140" s="154"/>
      <c r="D140" s="154"/>
      <c r="E140" s="154">
        <f>LOOKUP(F114, {1,2,3,4,5,6,7,8,9,10,11,12,13,14,15,16,17,18,19,20,21,22,23,24,25,26,27,28,29,30,31,32,33,34,35,36,37,38,39,40}, {6,13,20,26,33,40,46,53,60,66,76,86,100,116,133,153,173,200,233,266,306,346,400,466,533,613,693,800,933,1064,1224,1384,1600,1864,2132,2452,2772,3200,3732,4256})</f>
        <v>173</v>
      </c>
      <c r="F140" s="154"/>
      <c r="G140" s="154"/>
      <c r="H140" s="154">
        <f>LOOKUP(F114, {1,2,3,4,5,6,7,8,9,10,11,12,13,14,15,16,17,18,19,20,21,22,23,24,25,26,27,28,29,30,31,32,33,34,35,36,37,38,39,40}, {10,20,30,40,50,60,70,80,90,100,115,130,150,175,200,230,260,300,350,400,460,520,600,700,800,920,1040,1200,1400,1600,1840,2080,2400,2800,3200,3680,4160,4800,5600,6400})</f>
        <v>260</v>
      </c>
      <c r="I140" s="154"/>
      <c r="J140" s="154"/>
      <c r="K140" s="154">
        <v>0</v>
      </c>
      <c r="L140" s="154"/>
      <c r="M140" s="188">
        <v>30</v>
      </c>
      <c r="N140" s="188"/>
      <c r="O140" s="188"/>
      <c r="P140" s="154">
        <f>IF(M140&gt;=30,M140-(IF(B140&gt;=K140,0,10)),M140-(IF(B140&gt;=K140,0,5)))</f>
        <v>30</v>
      </c>
      <c r="Q140" s="154"/>
      <c r="R140" s="17">
        <f>IF(AND(K140&gt;B140,K140&lt;=E140),-3,IF(AND(K140&gt;E140,K140&lt;=H140),-6,0))</f>
        <v>0</v>
      </c>
      <c r="U140" s="34"/>
      <c r="V140" s="34"/>
      <c r="W140" s="34"/>
      <c r="X140" s="34"/>
      <c r="Y140" s="34"/>
      <c r="Z140" s="34"/>
      <c r="AA140" s="34"/>
      <c r="AB140" s="34"/>
      <c r="AC140" s="34"/>
    </row>
    <row r="141" spans="1:29" s="1" customFormat="1" x14ac:dyDescent="0.25">
      <c r="B141" s="7"/>
      <c r="C141" s="7"/>
      <c r="D141" s="7"/>
      <c r="E141" s="7"/>
      <c r="F141" s="7"/>
      <c r="G141" s="7"/>
      <c r="H141" s="7"/>
      <c r="I141" s="7"/>
      <c r="J141" s="7"/>
      <c r="K141" s="7"/>
      <c r="L141" s="7"/>
      <c r="M141" s="7"/>
      <c r="N141" s="7"/>
      <c r="O141" s="7"/>
      <c r="P141" s="7"/>
      <c r="Q141" s="7"/>
      <c r="R141" s="7"/>
      <c r="S141" s="7"/>
      <c r="T141" s="7"/>
      <c r="U141" s="34"/>
      <c r="V141" s="34"/>
      <c r="W141" s="34"/>
      <c r="X141" s="34"/>
      <c r="Y141" s="34"/>
      <c r="Z141" s="34"/>
      <c r="AA141" s="34"/>
      <c r="AB141" s="34"/>
      <c r="AC141" s="34"/>
    </row>
    <row r="142" spans="1:29" s="1" customFormat="1" x14ac:dyDescent="0.25">
      <c r="B142" s="7" t="s">
        <v>922</v>
      </c>
      <c r="C142" s="7"/>
      <c r="D142" s="7"/>
      <c r="E142" s="7"/>
      <c r="F142" s="7"/>
      <c r="G142" s="7"/>
      <c r="H142" s="7"/>
      <c r="I142" s="7"/>
      <c r="J142" s="7"/>
      <c r="K142" s="7"/>
      <c r="L142" s="7"/>
      <c r="M142" s="7"/>
      <c r="N142" s="7"/>
      <c r="O142" s="7"/>
      <c r="P142" s="7"/>
      <c r="Q142" s="7"/>
      <c r="R142" s="7"/>
      <c r="S142" s="7"/>
      <c r="T142" s="7"/>
      <c r="U142" s="34"/>
      <c r="V142" s="34"/>
      <c r="W142" s="34"/>
      <c r="X142" s="34"/>
      <c r="Y142" s="34"/>
      <c r="Z142" s="34"/>
      <c r="AA142" s="34"/>
      <c r="AB142" s="34"/>
      <c r="AC142" s="34"/>
    </row>
    <row r="143" spans="1:29" s="7" customFormat="1" x14ac:dyDescent="0.25">
      <c r="B143" s="111" t="s">
        <v>62</v>
      </c>
      <c r="C143" s="111"/>
      <c r="D143" s="111"/>
      <c r="E143" s="111" t="s">
        <v>63</v>
      </c>
      <c r="F143" s="111"/>
      <c r="G143" s="111"/>
      <c r="H143" s="111" t="s">
        <v>64</v>
      </c>
      <c r="I143" s="111"/>
      <c r="J143" s="111"/>
      <c r="K143" s="111" t="s">
        <v>65</v>
      </c>
      <c r="L143" s="111"/>
      <c r="M143" s="111" t="s">
        <v>60</v>
      </c>
      <c r="N143" s="111"/>
      <c r="O143" s="111"/>
      <c r="P143" s="111" t="s">
        <v>61</v>
      </c>
      <c r="Q143" s="111"/>
      <c r="U143" s="34"/>
      <c r="V143" s="34"/>
      <c r="W143" s="34"/>
      <c r="X143" s="34"/>
      <c r="Y143" s="34"/>
      <c r="Z143" s="34"/>
      <c r="AA143" s="34"/>
      <c r="AB143" s="34"/>
      <c r="AC143" s="34"/>
    </row>
    <row r="144" spans="1:29" s="1" customFormat="1" x14ac:dyDescent="0.25">
      <c r="B144" s="154">
        <f>LOOKUP(F114, {1,2,3,4,5,6,7,8,9,10,11,12,13,14,15,16,17,18,19,20,21,22,23,24,25,26,27,28,29,30,31,32,33,34,35,36,37,38,39,40}, {3,6,10,13,16,20,23,26,30,33,38,43,50,58,66,76,86,100,116,133,153,173,200,233,266,306,346,400,466,532,612,692,800,932,1064,1224,1384,1600,1864,2128})</f>
        <v>86</v>
      </c>
      <c r="C144" s="154"/>
      <c r="D144" s="154"/>
      <c r="E144" s="154">
        <f>LOOKUP(F114, {1,2,3,4,5,6,7,8,9,10,11,12,13,14,15,16,17,18,19,20,21,22,23,24,25,26,27,28,29,30,31,32,33,34,35,36,37,38,39,40}, {6,13,20,26,33,40,46,53,60,66,76,86,100,116,133,153,173,200,233,266,306,346,400,466,533,613,693,800,933,1064,1224,1384,1600,1864,2132,2452,2772,3200,3732,4256})</f>
        <v>173</v>
      </c>
      <c r="F144" s="154"/>
      <c r="G144" s="154"/>
      <c r="H144" s="154">
        <f>LOOKUP(F114, {1,2,3,4,5,6,7,8,9,10,11,12,13,14,15,16,17,18,19,20,21,22,23,24,25,26,27,28,29,30,31,32,33,34,35,36,37,38,39,40}, {10,20,30,40,50,60,70,80,90,100,115,130,150,175,200,230,260,300,350,400,460,520,600,700,800,920,1040,1200,1400,1600,1840,2080,2400,2800,3200,3680,4160,4800,5600,6400})</f>
        <v>260</v>
      </c>
      <c r="I144" s="154"/>
      <c r="J144" s="154"/>
      <c r="K144" s="154">
        <v>0</v>
      </c>
      <c r="L144" s="154"/>
      <c r="M144" s="188">
        <v>20</v>
      </c>
      <c r="N144" s="188"/>
      <c r="O144" s="188"/>
      <c r="P144" s="154">
        <f>IF(M144&gt;=30,M144-(IF(B144&gt;=K144,0,10)),M144-(IF(B144&gt;=K144,0,5)))</f>
        <v>20</v>
      </c>
      <c r="Q144" s="154"/>
      <c r="R144" s="17">
        <f>IF(AND(K144&gt;B144,K144&lt;=E144),-3,IF(AND(K144&gt;E144,K144&lt;=H144),-6,0))</f>
        <v>0</v>
      </c>
      <c r="U144" s="34"/>
      <c r="V144" s="34"/>
      <c r="W144" s="34"/>
      <c r="X144" s="34"/>
      <c r="Y144" s="34"/>
      <c r="Z144" s="34"/>
      <c r="AA144" s="34"/>
      <c r="AB144" s="34"/>
      <c r="AC144" s="34"/>
    </row>
    <row r="145" spans="2:29" s="1" customFormat="1" x14ac:dyDescent="0.25">
      <c r="B145" s="7"/>
      <c r="C145" s="7"/>
      <c r="D145" s="7"/>
      <c r="E145" s="7"/>
      <c r="F145" s="7"/>
      <c r="G145" s="7"/>
      <c r="H145" s="7"/>
      <c r="I145" s="7"/>
      <c r="J145" s="7"/>
      <c r="K145" s="7"/>
      <c r="L145" s="7"/>
      <c r="M145" s="7"/>
      <c r="N145" s="7"/>
      <c r="O145" s="7"/>
      <c r="P145" s="7"/>
      <c r="Q145" s="7"/>
      <c r="R145" s="7"/>
      <c r="S145" s="7"/>
      <c r="T145" s="7"/>
      <c r="U145" s="34"/>
      <c r="V145" s="34"/>
      <c r="W145" s="34"/>
      <c r="X145" s="34"/>
      <c r="Y145" s="34"/>
      <c r="Z145" s="34"/>
      <c r="AA145" s="34"/>
      <c r="AB145" s="34"/>
      <c r="AC145" s="34"/>
    </row>
    <row r="146" spans="2:29" s="7" customFormat="1" x14ac:dyDescent="0.25">
      <c r="B146" s="7" t="s">
        <v>92</v>
      </c>
      <c r="U146" s="34"/>
      <c r="V146" s="34"/>
      <c r="W146" s="34"/>
      <c r="X146" s="34"/>
      <c r="Y146" s="34"/>
      <c r="Z146" s="34"/>
      <c r="AA146" s="34"/>
      <c r="AB146" s="34"/>
      <c r="AC146" s="34"/>
    </row>
    <row r="147" spans="2:29" s="7" customFormat="1" ht="15" customHeight="1" x14ac:dyDescent="0.25">
      <c r="B147" s="139" t="s">
        <v>22</v>
      </c>
      <c r="C147" s="140"/>
      <c r="D147" s="140"/>
      <c r="E147" s="141"/>
      <c r="F147" s="139" t="s">
        <v>93</v>
      </c>
      <c r="G147" s="140"/>
      <c r="H147" s="140"/>
      <c r="I147" s="140"/>
      <c r="J147" s="140"/>
      <c r="K147" s="140"/>
      <c r="L147" s="140"/>
      <c r="M147" s="140"/>
      <c r="N147" s="140"/>
      <c r="O147" s="140"/>
      <c r="P147" s="141"/>
      <c r="Q147" s="139" t="s">
        <v>42</v>
      </c>
      <c r="R147" s="140"/>
      <c r="S147" s="141"/>
      <c r="U147" s="34"/>
      <c r="V147" s="34"/>
      <c r="W147" s="34"/>
      <c r="X147" s="34"/>
      <c r="Y147" s="34"/>
      <c r="Z147" s="34"/>
      <c r="AA147" s="34"/>
      <c r="AB147" s="34"/>
      <c r="AC147" s="34"/>
    </row>
    <row r="148" spans="2:29" s="7" customFormat="1" x14ac:dyDescent="0.25">
      <c r="B148" s="90" t="s">
        <v>923</v>
      </c>
      <c r="C148" s="91"/>
      <c r="D148" s="91"/>
      <c r="E148" s="92"/>
      <c r="F148" s="99" t="s">
        <v>924</v>
      </c>
      <c r="G148" s="91"/>
      <c r="H148" s="91"/>
      <c r="I148" s="91"/>
      <c r="J148" s="91"/>
      <c r="K148" s="91"/>
      <c r="L148" s="91"/>
      <c r="M148" s="91"/>
      <c r="N148" s="91"/>
      <c r="O148" s="91"/>
      <c r="P148" s="92"/>
      <c r="Q148" s="90" t="s">
        <v>925</v>
      </c>
      <c r="R148" s="91"/>
      <c r="S148" s="92"/>
      <c r="U148" s="34"/>
      <c r="V148" s="34"/>
      <c r="W148" s="34"/>
      <c r="X148" s="34"/>
      <c r="Y148" s="34"/>
      <c r="Z148" s="34"/>
      <c r="AA148" s="34"/>
      <c r="AB148" s="34"/>
      <c r="AC148" s="34"/>
    </row>
    <row r="149" spans="2:29" s="1" customFormat="1" x14ac:dyDescent="0.25">
      <c r="B149" s="7"/>
      <c r="C149" s="7"/>
      <c r="D149" s="7"/>
      <c r="E149" s="7"/>
      <c r="F149" s="7"/>
      <c r="G149" s="7"/>
      <c r="H149" s="7"/>
      <c r="I149" s="7"/>
      <c r="J149" s="7"/>
      <c r="K149" s="7"/>
      <c r="L149" s="7"/>
      <c r="M149" s="7"/>
      <c r="N149" s="7"/>
      <c r="O149" s="7"/>
      <c r="P149" s="7"/>
      <c r="Q149" s="7"/>
      <c r="R149" s="7"/>
      <c r="S149" s="7"/>
      <c r="T149" s="7"/>
      <c r="U149" s="34"/>
      <c r="V149" s="34"/>
      <c r="W149" s="34"/>
      <c r="X149" s="34"/>
      <c r="Y149" s="34"/>
      <c r="Z149" s="34"/>
      <c r="AA149" s="34"/>
      <c r="AB149" s="34"/>
      <c r="AC149" s="34"/>
    </row>
    <row r="150" spans="2:29" s="7" customFormat="1" ht="15" customHeight="1" x14ac:dyDescent="0.25">
      <c r="B150" s="7" t="s">
        <v>926</v>
      </c>
      <c r="U150" s="34"/>
      <c r="V150" s="34"/>
      <c r="W150" s="34"/>
      <c r="X150" s="34"/>
      <c r="Y150" s="34"/>
      <c r="Z150" s="34"/>
      <c r="AA150" s="34"/>
      <c r="AB150" s="34"/>
      <c r="AC150" s="34"/>
    </row>
    <row r="151" spans="2:29" s="7" customFormat="1" ht="15" customHeight="1" x14ac:dyDescent="0.25">
      <c r="B151" s="139" t="s">
        <v>22</v>
      </c>
      <c r="C151" s="140"/>
      <c r="D151" s="140"/>
      <c r="E151" s="141"/>
      <c r="F151" s="139" t="s">
        <v>93</v>
      </c>
      <c r="G151" s="140"/>
      <c r="H151" s="140"/>
      <c r="I151" s="140"/>
      <c r="J151" s="140"/>
      <c r="K151" s="140"/>
      <c r="L151" s="140"/>
      <c r="M151" s="140"/>
      <c r="N151" s="140"/>
      <c r="O151" s="140"/>
      <c r="P151" s="141"/>
      <c r="Q151" s="139" t="s">
        <v>42</v>
      </c>
      <c r="R151" s="140"/>
      <c r="S151" s="141"/>
      <c r="U151" s="34"/>
      <c r="V151" s="34"/>
      <c r="W151" s="34"/>
      <c r="X151" s="34"/>
      <c r="Y151" s="34"/>
      <c r="Z151" s="34"/>
      <c r="AA151" s="34"/>
      <c r="AB151" s="34"/>
      <c r="AC151" s="34"/>
    </row>
    <row r="152" spans="2:29" s="7" customFormat="1" x14ac:dyDescent="0.25">
      <c r="B152" s="90" t="s">
        <v>927</v>
      </c>
      <c r="C152" s="91"/>
      <c r="D152" s="91"/>
      <c r="E152" s="92"/>
      <c r="F152" s="99" t="s">
        <v>942</v>
      </c>
      <c r="G152" s="91"/>
      <c r="H152" s="91"/>
      <c r="I152" s="91"/>
      <c r="J152" s="91"/>
      <c r="K152" s="91"/>
      <c r="L152" s="91"/>
      <c r="M152" s="91"/>
      <c r="N152" s="91"/>
      <c r="O152" s="91"/>
      <c r="P152" s="92"/>
      <c r="Q152" s="90" t="s">
        <v>913</v>
      </c>
      <c r="R152" s="91"/>
      <c r="S152" s="92"/>
      <c r="U152" s="34"/>
      <c r="V152" s="34"/>
      <c r="W152" s="34"/>
      <c r="X152" s="34"/>
      <c r="Y152" s="34"/>
      <c r="Z152" s="34"/>
      <c r="AA152" s="34"/>
      <c r="AB152" s="34"/>
      <c r="AC152" s="34"/>
    </row>
    <row r="153" spans="2:29" s="7" customFormat="1" x14ac:dyDescent="0.25">
      <c r="B153" s="90" t="s">
        <v>919</v>
      </c>
      <c r="C153" s="91"/>
      <c r="D153" s="91"/>
      <c r="E153" s="92"/>
      <c r="F153" s="99" t="s">
        <v>943</v>
      </c>
      <c r="G153" s="91"/>
      <c r="H153" s="91"/>
      <c r="I153" s="91"/>
      <c r="J153" s="91"/>
      <c r="K153" s="91"/>
      <c r="L153" s="91"/>
      <c r="M153" s="91"/>
      <c r="N153" s="91"/>
      <c r="O153" s="91"/>
      <c r="P153" s="92"/>
      <c r="Q153" s="90" t="s">
        <v>913</v>
      </c>
      <c r="R153" s="91"/>
      <c r="S153" s="92"/>
      <c r="U153" s="34"/>
      <c r="V153" s="34"/>
      <c r="W153" s="34"/>
      <c r="X153" s="34"/>
      <c r="Y153" s="34"/>
      <c r="Z153" s="34"/>
      <c r="AA153" s="34"/>
      <c r="AB153" s="34"/>
      <c r="AC153" s="34"/>
    </row>
    <row r="154" spans="2:29" s="1" customFormat="1" x14ac:dyDescent="0.25">
      <c r="B154" s="7"/>
      <c r="C154" s="7"/>
      <c r="D154" s="7"/>
      <c r="E154" s="7"/>
      <c r="F154" s="7"/>
      <c r="G154" s="7"/>
      <c r="H154" s="7"/>
      <c r="I154" s="7"/>
      <c r="J154" s="7"/>
      <c r="K154" s="7"/>
      <c r="L154" s="7"/>
      <c r="M154" s="7"/>
      <c r="N154" s="7"/>
      <c r="O154" s="7"/>
      <c r="P154" s="7"/>
      <c r="Q154" s="7"/>
      <c r="R154" s="7"/>
      <c r="S154" s="7"/>
      <c r="T154" s="7"/>
      <c r="U154" s="34"/>
      <c r="V154" s="34"/>
      <c r="W154" s="34"/>
      <c r="X154" s="34"/>
      <c r="Y154" s="34"/>
      <c r="Z154" s="34"/>
      <c r="AA154" s="34"/>
      <c r="AB154" s="34"/>
      <c r="AC154" s="34"/>
    </row>
    <row r="155" spans="2:29" s="7" customFormat="1" ht="15" customHeight="1" x14ac:dyDescent="0.25">
      <c r="B155" s="7" t="s">
        <v>930</v>
      </c>
      <c r="U155" s="34"/>
      <c r="V155" s="34"/>
      <c r="W155" s="34"/>
      <c r="X155" s="34"/>
      <c r="Y155" s="34"/>
      <c r="Z155" s="34"/>
      <c r="AA155" s="34"/>
      <c r="AB155" s="34"/>
      <c r="AC155" s="34"/>
    </row>
    <row r="156" spans="2:29" s="7" customFormat="1" ht="15" customHeight="1" x14ac:dyDescent="0.25">
      <c r="B156" s="139" t="s">
        <v>22</v>
      </c>
      <c r="C156" s="140"/>
      <c r="D156" s="140"/>
      <c r="E156" s="141"/>
      <c r="F156" s="139" t="s">
        <v>93</v>
      </c>
      <c r="G156" s="140"/>
      <c r="H156" s="140"/>
      <c r="I156" s="140"/>
      <c r="J156" s="140"/>
      <c r="K156" s="140"/>
      <c r="L156" s="140"/>
      <c r="M156" s="140"/>
      <c r="N156" s="140"/>
      <c r="O156" s="140"/>
      <c r="P156" s="141"/>
      <c r="Q156" s="139" t="s">
        <v>42</v>
      </c>
      <c r="R156" s="140"/>
      <c r="S156" s="141"/>
      <c r="U156" s="34"/>
      <c r="V156" s="34"/>
      <c r="W156" s="34"/>
      <c r="X156" s="34"/>
      <c r="Y156" s="34"/>
      <c r="Z156" s="34"/>
      <c r="AA156" s="34"/>
      <c r="AB156" s="34"/>
      <c r="AC156" s="34"/>
    </row>
    <row r="157" spans="2:29" s="7" customFormat="1" x14ac:dyDescent="0.25">
      <c r="B157" s="90" t="s">
        <v>458</v>
      </c>
      <c r="C157" s="91"/>
      <c r="D157" s="91"/>
      <c r="E157" s="92"/>
      <c r="F157" s="99" t="s">
        <v>931</v>
      </c>
      <c r="G157" s="91"/>
      <c r="H157" s="91"/>
      <c r="I157" s="91"/>
      <c r="J157" s="91"/>
      <c r="K157" s="91"/>
      <c r="L157" s="91"/>
      <c r="M157" s="91"/>
      <c r="N157" s="91"/>
      <c r="O157" s="91"/>
      <c r="P157" s="92"/>
      <c r="Q157" s="90" t="s">
        <v>932</v>
      </c>
      <c r="R157" s="91"/>
      <c r="S157" s="92"/>
      <c r="U157" s="34"/>
      <c r="V157" s="34"/>
      <c r="W157" s="34"/>
      <c r="X157" s="34"/>
      <c r="Y157" s="34"/>
      <c r="Z157" s="34"/>
      <c r="AA157" s="34"/>
      <c r="AB157" s="34"/>
      <c r="AC157" s="34"/>
    </row>
    <row r="158" spans="2:29" s="1" customFormat="1" x14ac:dyDescent="0.25">
      <c r="B158" s="7"/>
      <c r="C158" s="7"/>
      <c r="D158" s="7"/>
      <c r="E158" s="7"/>
      <c r="F158" s="7"/>
      <c r="G158" s="7"/>
      <c r="H158" s="7"/>
      <c r="I158" s="7"/>
      <c r="J158" s="7"/>
      <c r="K158" s="7"/>
      <c r="L158" s="7"/>
      <c r="M158" s="7"/>
      <c r="N158" s="7"/>
      <c r="O158" s="7"/>
      <c r="P158" s="7"/>
      <c r="Q158" s="7"/>
      <c r="R158" s="7"/>
      <c r="S158" s="7"/>
      <c r="T158" s="7"/>
      <c r="U158" s="34"/>
      <c r="V158" s="34"/>
      <c r="W158" s="34"/>
      <c r="X158" s="34"/>
      <c r="Y158" s="34"/>
      <c r="Z158" s="34"/>
      <c r="AA158" s="34"/>
      <c r="AB158" s="34"/>
      <c r="AC158" s="34"/>
    </row>
    <row r="159" spans="2:29" s="5" customFormat="1" x14ac:dyDescent="0.25">
      <c r="B159" s="11"/>
      <c r="C159" s="11"/>
      <c r="D159" s="11"/>
      <c r="E159" s="11"/>
      <c r="F159" s="11"/>
      <c r="G159" s="11"/>
      <c r="H159" s="11"/>
      <c r="I159" s="11"/>
      <c r="J159" s="11"/>
      <c r="K159" s="11"/>
      <c r="L159" s="11"/>
      <c r="M159" s="11"/>
      <c r="N159" s="11"/>
      <c r="O159" s="11"/>
      <c r="P159" s="11"/>
      <c r="Q159" s="11"/>
      <c r="R159" s="11"/>
      <c r="S159" s="11"/>
      <c r="T159" s="11"/>
      <c r="U159" s="33"/>
      <c r="V159" s="33"/>
      <c r="W159" s="33"/>
      <c r="X159" s="33"/>
      <c r="Y159" s="33"/>
      <c r="Z159" s="33"/>
      <c r="AA159" s="33"/>
      <c r="AB159" s="33"/>
      <c r="AC159" s="33"/>
    </row>
    <row r="160" spans="2:29" s="1" customFormat="1" x14ac:dyDescent="0.25">
      <c r="B160" s="164" t="s">
        <v>5</v>
      </c>
      <c r="C160" s="164"/>
      <c r="D160" s="90" t="s">
        <v>944</v>
      </c>
      <c r="E160" s="91"/>
      <c r="F160" s="92"/>
      <c r="U160" s="34"/>
      <c r="V160" s="34"/>
      <c r="W160" s="34"/>
      <c r="X160" s="34"/>
      <c r="Y160" s="34"/>
      <c r="Z160" s="34"/>
      <c r="AA160" s="34"/>
      <c r="AB160" s="34"/>
      <c r="AC160" s="34"/>
    </row>
    <row r="161" spans="2:29" s="1" customFormat="1" x14ac:dyDescent="0.25">
      <c r="B161" s="164" t="s">
        <v>208</v>
      </c>
      <c r="C161" s="164"/>
      <c r="D161" s="90" t="s">
        <v>911</v>
      </c>
      <c r="E161" s="91"/>
      <c r="F161" s="92"/>
      <c r="U161" s="34"/>
      <c r="V161" s="34"/>
      <c r="W161" s="34"/>
      <c r="X161" s="34"/>
      <c r="Y161" s="34"/>
      <c r="Z161" s="34"/>
      <c r="AA161" s="34"/>
      <c r="AB161" s="34"/>
      <c r="AC161" s="34"/>
    </row>
    <row r="162" spans="2:29" s="1" customFormat="1" x14ac:dyDescent="0.25">
      <c r="B162" s="164" t="s">
        <v>17</v>
      </c>
      <c r="C162" s="164"/>
      <c r="D162" s="90" t="s">
        <v>196</v>
      </c>
      <c r="E162" s="91"/>
      <c r="F162" s="92"/>
      <c r="U162" s="34"/>
      <c r="V162" s="34"/>
      <c r="W162" s="34"/>
      <c r="X162" s="34"/>
      <c r="Y162" s="34"/>
      <c r="Z162" s="34"/>
      <c r="AA162" s="34"/>
      <c r="AB162" s="34"/>
      <c r="AC162" s="34"/>
    </row>
    <row r="163" spans="2:29" s="1" customFormat="1" x14ac:dyDescent="0.25">
      <c r="B163" s="164" t="s">
        <v>912</v>
      </c>
      <c r="C163" s="164"/>
      <c r="D163" s="90" t="s">
        <v>913</v>
      </c>
      <c r="E163" s="91"/>
      <c r="F163" s="92"/>
      <c r="U163" s="34"/>
      <c r="V163" s="34"/>
      <c r="W163" s="34"/>
      <c r="X163" s="34"/>
      <c r="Y163" s="34"/>
      <c r="Z163" s="34"/>
      <c r="AA163" s="34"/>
      <c r="AB163" s="34"/>
      <c r="AC163" s="34"/>
    </row>
    <row r="164" spans="2:29" s="1" customFormat="1" x14ac:dyDescent="0.25">
      <c r="B164" s="7"/>
      <c r="C164" s="7"/>
      <c r="D164" s="7"/>
      <c r="E164" s="7"/>
      <c r="F164" s="7"/>
      <c r="G164" s="7"/>
      <c r="H164" s="7"/>
      <c r="I164" s="7"/>
      <c r="J164" s="7"/>
      <c r="K164" s="7"/>
      <c r="L164" s="7"/>
      <c r="M164" s="7"/>
      <c r="N164" s="7"/>
      <c r="O164" s="7"/>
      <c r="P164" s="7"/>
      <c r="Q164" s="7"/>
      <c r="R164" s="7"/>
      <c r="S164" s="7"/>
      <c r="T164" s="7"/>
      <c r="U164" s="34"/>
      <c r="V164" s="34"/>
      <c r="W164" s="34"/>
      <c r="X164" s="34"/>
      <c r="Y164" s="34"/>
      <c r="Z164" s="34"/>
      <c r="AA164" s="34"/>
      <c r="AB164" s="34"/>
      <c r="AC164" s="34"/>
    </row>
    <row r="165" spans="2:29" s="1" customFormat="1" x14ac:dyDescent="0.25">
      <c r="B165" s="7" t="s">
        <v>915</v>
      </c>
      <c r="C165" s="7"/>
      <c r="D165" s="7"/>
      <c r="E165" s="7"/>
      <c r="F165" s="7"/>
      <c r="G165" s="7"/>
      <c r="H165" s="7"/>
      <c r="I165" s="7"/>
      <c r="J165" s="7"/>
      <c r="K165" s="7"/>
      <c r="L165" s="7"/>
      <c r="M165" s="7"/>
      <c r="N165" s="7"/>
      <c r="O165" s="7"/>
      <c r="P165" s="7"/>
      <c r="Q165" s="7"/>
      <c r="R165" s="7"/>
      <c r="S165" s="7"/>
      <c r="T165" s="7"/>
      <c r="U165" s="34"/>
      <c r="V165" s="34"/>
      <c r="W165" s="34"/>
      <c r="X165" s="34"/>
      <c r="Y165" s="34"/>
      <c r="Z165" s="34"/>
      <c r="AA165" s="34"/>
      <c r="AB165" s="34"/>
      <c r="AC165" s="34"/>
    </row>
    <row r="166" spans="2:29" s="1" customFormat="1" x14ac:dyDescent="0.25">
      <c r="B166" s="83" t="s">
        <v>22</v>
      </c>
      <c r="C166" s="78" t="s">
        <v>23</v>
      </c>
      <c r="D166" s="83" t="s">
        <v>255</v>
      </c>
      <c r="E166" s="83" t="s">
        <v>254</v>
      </c>
      <c r="F166" s="78" t="s">
        <v>68</v>
      </c>
      <c r="G166" s="78" t="s">
        <v>24</v>
      </c>
      <c r="I166" s="7"/>
      <c r="U166" s="34"/>
      <c r="V166" s="34"/>
      <c r="W166" s="34"/>
      <c r="X166" s="34"/>
      <c r="Y166" s="34"/>
      <c r="Z166" s="34"/>
      <c r="AA166" s="34"/>
      <c r="AB166" s="34"/>
      <c r="AC166" s="34"/>
    </row>
    <row r="167" spans="2:29" s="1" customFormat="1" x14ac:dyDescent="0.25">
      <c r="B167" s="83" t="s">
        <v>25</v>
      </c>
      <c r="C167" s="80">
        <v>15</v>
      </c>
      <c r="D167" s="77">
        <v>0</v>
      </c>
      <c r="E167" s="32">
        <v>0</v>
      </c>
      <c r="F167" s="24">
        <f>(C167+D167+E167+6)</f>
        <v>21</v>
      </c>
      <c r="G167" s="76">
        <f>FLOOR((F167-10)/2,1)</f>
        <v>5</v>
      </c>
      <c r="U167" s="34"/>
      <c r="V167" s="34"/>
      <c r="W167" s="34"/>
      <c r="X167" s="34"/>
      <c r="Y167" s="34"/>
      <c r="Z167" s="34"/>
      <c r="AA167" s="34"/>
      <c r="AB167" s="34"/>
      <c r="AC167" s="34"/>
    </row>
    <row r="168" spans="2:29" s="1" customFormat="1" x14ac:dyDescent="0.25">
      <c r="B168" s="83" t="s">
        <v>26</v>
      </c>
      <c r="C168" s="80">
        <v>17</v>
      </c>
      <c r="D168" s="77">
        <v>0</v>
      </c>
      <c r="E168" s="32">
        <v>0</v>
      </c>
      <c r="F168" s="24">
        <f t="shared" ref="F168" si="6">(C168+D168+E168)</f>
        <v>17</v>
      </c>
      <c r="G168" s="76">
        <f t="shared" ref="G168:G169" si="7">FLOOR((F168-10)/2,1)</f>
        <v>3</v>
      </c>
      <c r="U168" s="34"/>
      <c r="V168" s="34"/>
      <c r="W168" s="34"/>
      <c r="X168" s="34"/>
      <c r="Y168" s="34"/>
      <c r="Z168" s="34"/>
      <c r="AA168" s="34"/>
      <c r="AB168" s="34"/>
      <c r="AC168" s="34"/>
    </row>
    <row r="169" spans="2:29" s="1" customFormat="1" x14ac:dyDescent="0.25">
      <c r="B169" s="8" t="s">
        <v>27</v>
      </c>
      <c r="C169" s="80">
        <v>12</v>
      </c>
      <c r="D169" s="77">
        <v>0</v>
      </c>
      <c r="E169" s="32">
        <v>0</v>
      </c>
      <c r="F169" s="24">
        <f>(C169+D169+E169+6)</f>
        <v>18</v>
      </c>
      <c r="G169" s="76">
        <f t="shared" si="7"/>
        <v>4</v>
      </c>
      <c r="U169" s="34"/>
      <c r="V169" s="34"/>
      <c r="W169" s="34"/>
      <c r="X169" s="34"/>
      <c r="Y169" s="34"/>
      <c r="Z169" s="34"/>
      <c r="AA169" s="34"/>
      <c r="AB169" s="34"/>
      <c r="AC169" s="34"/>
    </row>
    <row r="170" spans="2:29" s="1" customFormat="1" x14ac:dyDescent="0.25">
      <c r="B170" s="7"/>
      <c r="C170" s="7"/>
      <c r="D170" s="7"/>
      <c r="E170" s="7"/>
      <c r="F170" s="7"/>
      <c r="G170" s="7"/>
      <c r="H170" s="7"/>
      <c r="I170" s="7"/>
      <c r="J170" s="7"/>
      <c r="K170" s="7"/>
      <c r="L170" s="7"/>
      <c r="M170" s="7"/>
      <c r="N170" s="7"/>
      <c r="O170" s="7"/>
      <c r="P170" s="7"/>
      <c r="Q170" s="7"/>
      <c r="R170" s="7"/>
      <c r="S170" s="7"/>
      <c r="T170" s="7"/>
      <c r="U170" s="34"/>
      <c r="V170" s="34"/>
      <c r="W170" s="34"/>
      <c r="X170" s="34"/>
      <c r="Y170" s="34"/>
      <c r="Z170" s="34"/>
      <c r="AA170" s="34"/>
      <c r="AB170" s="34"/>
      <c r="AC170" s="34"/>
    </row>
    <row r="171" spans="2:29" s="1" customFormat="1" x14ac:dyDescent="0.25">
      <c r="B171" s="7" t="s">
        <v>934</v>
      </c>
      <c r="U171" s="34"/>
      <c r="V171" s="34"/>
      <c r="W171" s="34"/>
      <c r="X171" s="34"/>
      <c r="Y171" s="34"/>
      <c r="Z171" s="34"/>
      <c r="AA171" s="34"/>
      <c r="AB171" s="34"/>
      <c r="AC171" s="34"/>
    </row>
    <row r="172" spans="2:29" s="7" customFormat="1" x14ac:dyDescent="0.25">
      <c r="B172" s="83" t="s">
        <v>31</v>
      </c>
      <c r="C172" s="25">
        <f>(F172+I172+L172+O172)</f>
        <v>9</v>
      </c>
      <c r="D172" s="111" t="s">
        <v>34</v>
      </c>
      <c r="E172" s="111"/>
      <c r="F172" s="81">
        <v>5</v>
      </c>
      <c r="G172" s="215" t="s">
        <v>935</v>
      </c>
      <c r="H172" s="216"/>
      <c r="I172" s="25">
        <f>G169</f>
        <v>4</v>
      </c>
      <c r="J172" s="111" t="s">
        <v>936</v>
      </c>
      <c r="K172" s="111"/>
      <c r="L172" s="214"/>
      <c r="M172" s="111" t="s">
        <v>937</v>
      </c>
      <c r="N172" s="111"/>
      <c r="O172" s="214"/>
      <c r="U172" s="34"/>
      <c r="V172" s="34"/>
      <c r="W172" s="34"/>
      <c r="X172" s="34"/>
      <c r="Y172" s="34"/>
      <c r="Z172" s="34"/>
      <c r="AA172" s="34"/>
      <c r="AB172" s="34"/>
      <c r="AC172" s="34"/>
    </row>
    <row r="173" spans="2:29" s="7" customFormat="1" x14ac:dyDescent="0.25">
      <c r="B173" s="78" t="s">
        <v>32</v>
      </c>
      <c r="C173" s="25">
        <f>(F173+I173+L173+O173)</f>
        <v>6</v>
      </c>
      <c r="D173" s="111" t="s">
        <v>34</v>
      </c>
      <c r="E173" s="111"/>
      <c r="F173" s="81">
        <v>3</v>
      </c>
      <c r="G173" s="164" t="s">
        <v>70</v>
      </c>
      <c r="H173" s="164"/>
      <c r="I173" s="25">
        <f>IF(G168&gt;G185,G185,G168)</f>
        <v>3</v>
      </c>
      <c r="J173" s="111" t="s">
        <v>936</v>
      </c>
      <c r="K173" s="111"/>
      <c r="L173" s="214"/>
      <c r="M173" s="111" t="s">
        <v>937</v>
      </c>
      <c r="N173" s="111"/>
      <c r="O173" s="214"/>
      <c r="U173" s="34"/>
      <c r="V173" s="34"/>
      <c r="W173" s="34"/>
      <c r="X173" s="34"/>
      <c r="Y173" s="34"/>
      <c r="Z173" s="34"/>
      <c r="AA173" s="34"/>
      <c r="AB173" s="34"/>
      <c r="AC173" s="34"/>
    </row>
    <row r="174" spans="2:29" s="7" customFormat="1" x14ac:dyDescent="0.25">
      <c r="B174" s="78" t="s">
        <v>33</v>
      </c>
      <c r="C174" s="25">
        <f>(F174+I174+L174+O174)</f>
        <v>5</v>
      </c>
      <c r="D174" s="111" t="s">
        <v>34</v>
      </c>
      <c r="E174" s="111"/>
      <c r="F174" s="81">
        <v>1</v>
      </c>
      <c r="G174" s="164" t="s">
        <v>935</v>
      </c>
      <c r="H174" s="164"/>
      <c r="I174" s="25">
        <f>G169</f>
        <v>4</v>
      </c>
      <c r="J174" s="111" t="s">
        <v>936</v>
      </c>
      <c r="K174" s="111"/>
      <c r="L174" s="214"/>
      <c r="M174" s="111" t="s">
        <v>937</v>
      </c>
      <c r="N174" s="111"/>
      <c r="O174" s="214"/>
      <c r="U174" s="34"/>
      <c r="V174" s="34"/>
      <c r="W174" s="34"/>
      <c r="X174" s="34"/>
      <c r="Y174" s="34"/>
      <c r="Z174" s="34"/>
      <c r="AA174" s="34"/>
      <c r="AB174" s="34"/>
      <c r="AC174" s="34"/>
    </row>
    <row r="175" spans="2:29" s="1" customFormat="1" x14ac:dyDescent="0.25">
      <c r="U175" s="34"/>
      <c r="V175" s="34"/>
      <c r="W175" s="34"/>
      <c r="X175" s="34"/>
      <c r="Y175" s="34"/>
      <c r="Z175" s="34"/>
      <c r="AA175" s="34"/>
      <c r="AB175" s="34"/>
      <c r="AC175" s="34"/>
    </row>
    <row r="176" spans="2:29" s="1" customFormat="1" x14ac:dyDescent="0.25">
      <c r="B176" s="7" t="s">
        <v>916</v>
      </c>
      <c r="C176" s="7"/>
      <c r="D176" s="7"/>
      <c r="E176" s="7"/>
      <c r="F176" s="7"/>
      <c r="G176" s="7"/>
      <c r="H176" s="7"/>
      <c r="I176" s="7"/>
      <c r="J176" s="7"/>
      <c r="K176" s="7"/>
      <c r="L176" s="7"/>
      <c r="M176" s="7"/>
      <c r="N176" s="7"/>
      <c r="O176" s="7"/>
      <c r="P176" s="7"/>
      <c r="Q176" s="7"/>
      <c r="R176" s="7"/>
      <c r="S176" s="7"/>
      <c r="T176" s="7"/>
      <c r="U176" s="34"/>
      <c r="V176" s="34"/>
      <c r="W176" s="34"/>
      <c r="X176" s="34"/>
      <c r="Y176" s="34"/>
      <c r="Z176" s="34"/>
      <c r="AA176" s="34"/>
      <c r="AB176" s="34"/>
      <c r="AC176" s="34"/>
    </row>
    <row r="177" spans="1:29" s="1" customFormat="1" x14ac:dyDescent="0.25">
      <c r="A177" s="7"/>
      <c r="B177" s="85" t="s">
        <v>74</v>
      </c>
      <c r="C177" s="85"/>
      <c r="D177" s="27">
        <f>(G168+J177)</f>
        <v>3</v>
      </c>
      <c r="E177" s="85" t="s">
        <v>70</v>
      </c>
      <c r="F177" s="85"/>
      <c r="G177" s="27">
        <f>IF(G168&gt;G185,G185,G168)</f>
        <v>3</v>
      </c>
      <c r="H177" s="85" t="s">
        <v>39</v>
      </c>
      <c r="I177" s="85"/>
      <c r="J177" s="203"/>
      <c r="K177" s="7"/>
      <c r="L177" s="7"/>
      <c r="M177" s="7"/>
      <c r="N177" s="7"/>
      <c r="O177" s="7"/>
      <c r="P177" s="7"/>
      <c r="Q177" s="7"/>
      <c r="R177" s="7"/>
      <c r="S177" s="7"/>
      <c r="T177" s="7"/>
      <c r="U177" s="34"/>
      <c r="V177" s="34"/>
      <c r="W177" s="34"/>
      <c r="X177" s="34"/>
      <c r="Y177" s="34"/>
      <c r="Z177" s="34"/>
      <c r="AA177" s="34"/>
      <c r="AB177" s="34"/>
      <c r="AC177" s="34"/>
    </row>
    <row r="178" spans="1:29" s="1" customFormat="1" x14ac:dyDescent="0.25">
      <c r="A178" s="7"/>
      <c r="B178" s="7"/>
      <c r="C178" s="7"/>
      <c r="D178" s="34"/>
      <c r="E178" s="7"/>
      <c r="F178" s="7"/>
      <c r="G178" s="34"/>
      <c r="H178" s="7"/>
      <c r="I178" s="7"/>
      <c r="J178" s="7"/>
      <c r="K178" s="7"/>
      <c r="L178" s="7"/>
      <c r="M178" s="7"/>
      <c r="N178" s="7"/>
      <c r="O178" s="7"/>
      <c r="P178" s="7"/>
      <c r="Q178" s="7"/>
      <c r="R178" s="7"/>
      <c r="S178" s="7"/>
      <c r="T178" s="7"/>
      <c r="U178" s="34"/>
      <c r="V178" s="34"/>
      <c r="W178" s="34"/>
      <c r="X178" s="34"/>
      <c r="Y178" s="34"/>
      <c r="Z178" s="34"/>
      <c r="AA178" s="34"/>
      <c r="AB178" s="34"/>
      <c r="AC178" s="34"/>
    </row>
    <row r="179" spans="1:29" s="1" customFormat="1" x14ac:dyDescent="0.25">
      <c r="A179" s="7"/>
      <c r="B179" s="131" t="s">
        <v>75</v>
      </c>
      <c r="C179" s="133"/>
      <c r="D179" s="29">
        <f>(G179+J179+M179+P179)</f>
        <v>7</v>
      </c>
      <c r="E179" s="131" t="s">
        <v>71</v>
      </c>
      <c r="F179" s="133"/>
      <c r="G179" s="27">
        <v>3</v>
      </c>
      <c r="H179" s="131" t="s">
        <v>72</v>
      </c>
      <c r="I179" s="133"/>
      <c r="J179" s="29">
        <f>G167</f>
        <v>5</v>
      </c>
      <c r="K179" s="131" t="s">
        <v>73</v>
      </c>
      <c r="L179" s="133"/>
      <c r="M179" s="29">
        <f>VLOOKUP(D162,SizeTable,2,FALSE)</f>
        <v>-1</v>
      </c>
      <c r="N179" s="131" t="s">
        <v>39</v>
      </c>
      <c r="O179" s="133"/>
      <c r="P179" s="27"/>
      <c r="Q179" s="7"/>
      <c r="R179" s="7"/>
      <c r="S179" s="7"/>
      <c r="T179" s="7"/>
      <c r="U179" s="34"/>
      <c r="V179" s="34"/>
      <c r="W179" s="34"/>
      <c r="X179" s="34"/>
      <c r="Y179" s="34"/>
      <c r="Z179" s="34"/>
      <c r="AA179" s="34"/>
      <c r="AB179" s="34"/>
      <c r="AC179" s="34"/>
    </row>
    <row r="180" spans="1:29" s="1" customFormat="1" x14ac:dyDescent="0.25">
      <c r="A180" s="7"/>
      <c r="B180" s="131" t="s">
        <v>76</v>
      </c>
      <c r="C180" s="133"/>
      <c r="D180" s="29">
        <f>(G180+J180+M180+P180)</f>
        <v>3</v>
      </c>
      <c r="E180" s="131" t="s">
        <v>71</v>
      </c>
      <c r="F180" s="133"/>
      <c r="G180" s="29">
        <f>G179</f>
        <v>3</v>
      </c>
      <c r="H180" s="131" t="s">
        <v>36</v>
      </c>
      <c r="I180" s="133"/>
      <c r="J180" s="29">
        <f>IF(G168&gt;G185,G185,G168)</f>
        <v>3</v>
      </c>
      <c r="K180" s="131" t="s">
        <v>73</v>
      </c>
      <c r="L180" s="133"/>
      <c r="M180" s="29">
        <f>VLOOKUP(D162,SizeTable,2,FALSE)</f>
        <v>-1</v>
      </c>
      <c r="N180" s="131" t="s">
        <v>39</v>
      </c>
      <c r="O180" s="133"/>
      <c r="P180" s="27">
        <v>-2</v>
      </c>
      <c r="Q180" s="7"/>
      <c r="R180" s="7"/>
      <c r="S180" s="7"/>
      <c r="T180" s="7"/>
      <c r="U180" s="34"/>
      <c r="V180" s="34"/>
      <c r="W180" s="34"/>
      <c r="X180" s="34"/>
      <c r="Y180" s="34"/>
      <c r="Z180" s="34"/>
      <c r="AA180" s="34"/>
      <c r="AB180" s="34"/>
      <c r="AC180" s="34"/>
    </row>
    <row r="181" spans="1:29" s="1" customFormat="1" x14ac:dyDescent="0.25">
      <c r="A181" s="7"/>
      <c r="B181" s="131" t="s">
        <v>77</v>
      </c>
      <c r="C181" s="133"/>
      <c r="D181" s="29">
        <f>(G181+J181+M181+P181)</f>
        <v>12</v>
      </c>
      <c r="E181" s="131" t="s">
        <v>71</v>
      </c>
      <c r="F181" s="133"/>
      <c r="G181" s="29">
        <f>G180</f>
        <v>3</v>
      </c>
      <c r="H181" s="131" t="s">
        <v>72</v>
      </c>
      <c r="I181" s="133"/>
      <c r="J181" s="29">
        <f>G167</f>
        <v>5</v>
      </c>
      <c r="K181" s="131" t="s">
        <v>73</v>
      </c>
      <c r="L181" s="133"/>
      <c r="M181" s="29">
        <f>LOOKUP(VLOOKUP(D162,SizeTable,2,FALSE), {-8,-4,-2,-1,0,1,2,4,8},{16,12,8,4,0,-4,-8,-12,-16})</f>
        <v>4</v>
      </c>
      <c r="N181" s="131" t="s">
        <v>39</v>
      </c>
      <c r="O181" s="133"/>
      <c r="P181" s="27"/>
      <c r="Q181" s="7"/>
      <c r="R181" s="7"/>
      <c r="S181" s="7"/>
      <c r="T181" s="7"/>
      <c r="U181" s="34"/>
      <c r="V181" s="34"/>
      <c r="W181" s="34"/>
      <c r="X181" s="34"/>
      <c r="Y181" s="34"/>
      <c r="Z181" s="34"/>
      <c r="AA181" s="34"/>
      <c r="AB181" s="34"/>
      <c r="AC181" s="34"/>
    </row>
    <row r="182" spans="1:29" s="1" customFormat="1" x14ac:dyDescent="0.25">
      <c r="A182" s="7"/>
      <c r="B182" s="7"/>
      <c r="C182" s="7"/>
      <c r="D182" s="34"/>
      <c r="E182" s="7"/>
      <c r="F182" s="7"/>
      <c r="G182" s="34"/>
      <c r="H182" s="7"/>
      <c r="I182" s="7"/>
      <c r="J182" s="34"/>
      <c r="K182" s="7"/>
      <c r="L182" s="7"/>
      <c r="M182" s="34"/>
      <c r="N182" s="7"/>
      <c r="O182" s="7"/>
      <c r="P182" s="34"/>
      <c r="Q182" s="7"/>
      <c r="R182" s="7"/>
      <c r="S182" s="7"/>
      <c r="T182" s="7"/>
      <c r="U182" s="34"/>
      <c r="V182" s="34"/>
      <c r="W182" s="34"/>
      <c r="X182" s="34"/>
      <c r="Y182" s="34"/>
      <c r="Z182" s="34"/>
      <c r="AA182" s="34"/>
      <c r="AB182" s="34"/>
      <c r="AC182" s="34"/>
    </row>
    <row r="183" spans="1:29" s="1" customFormat="1" x14ac:dyDescent="0.25">
      <c r="A183" s="7"/>
      <c r="B183" s="85" t="s">
        <v>10</v>
      </c>
      <c r="C183" s="85"/>
      <c r="D183" s="29">
        <f>(10+G183+J183+M183+P183+J184+M184+P184+M185)</f>
        <v>14</v>
      </c>
      <c r="E183" s="85" t="s">
        <v>78</v>
      </c>
      <c r="F183" s="85"/>
      <c r="G183" s="29">
        <v>0</v>
      </c>
      <c r="H183" s="85" t="s">
        <v>36</v>
      </c>
      <c r="I183" s="85"/>
      <c r="J183" s="29">
        <f>IF(G168&gt;G185,G185,G168)</f>
        <v>3</v>
      </c>
      <c r="K183" s="85" t="s">
        <v>73</v>
      </c>
      <c r="L183" s="85"/>
      <c r="M183" s="29">
        <f>VLOOKUP(D162,SizeTable,2,FALSE)</f>
        <v>-1</v>
      </c>
      <c r="N183" s="85" t="s">
        <v>79</v>
      </c>
      <c r="O183" s="85"/>
      <c r="P183" s="27">
        <v>0</v>
      </c>
      <c r="Q183" s="7"/>
      <c r="R183" s="7"/>
      <c r="S183" s="7"/>
      <c r="T183" s="7"/>
      <c r="U183" s="34"/>
      <c r="V183" s="34"/>
      <c r="W183" s="34"/>
      <c r="X183" s="34"/>
      <c r="Y183" s="34"/>
      <c r="Z183" s="34"/>
      <c r="AA183" s="34"/>
      <c r="AB183" s="34"/>
      <c r="AC183" s="34"/>
    </row>
    <row r="184" spans="1:29" s="1" customFormat="1" x14ac:dyDescent="0.25">
      <c r="A184" s="7"/>
      <c r="B184" s="131" t="s">
        <v>82</v>
      </c>
      <c r="C184" s="133"/>
      <c r="D184" s="29">
        <f>(10+J183+M183+J184+P184+M185)</f>
        <v>12</v>
      </c>
      <c r="E184" s="94" t="s">
        <v>177</v>
      </c>
      <c r="F184" s="96"/>
      <c r="G184" s="29">
        <f>(10+G183+M183+P183+J184+M184+P184)</f>
        <v>11</v>
      </c>
      <c r="H184" s="149" t="s">
        <v>81</v>
      </c>
      <c r="I184" s="150"/>
      <c r="J184" s="27">
        <v>0</v>
      </c>
      <c r="K184" s="85" t="s">
        <v>80</v>
      </c>
      <c r="L184" s="85"/>
      <c r="M184" s="27">
        <v>2</v>
      </c>
      <c r="N184" s="85" t="s">
        <v>39</v>
      </c>
      <c r="O184" s="85"/>
      <c r="P184" s="27">
        <v>0</v>
      </c>
      <c r="Q184" s="7"/>
      <c r="R184" s="7"/>
      <c r="S184" s="7"/>
      <c r="T184" s="7"/>
      <c r="U184" s="34"/>
      <c r="V184" s="34"/>
      <c r="W184" s="34"/>
      <c r="X184" s="34"/>
      <c r="Y184" s="34"/>
      <c r="Z184" s="34"/>
      <c r="AA184" s="34"/>
      <c r="AB184" s="34"/>
      <c r="AC184" s="34"/>
    </row>
    <row r="185" spans="1:29" s="1" customFormat="1" x14ac:dyDescent="0.25">
      <c r="A185" s="7"/>
      <c r="B185" s="189" t="s">
        <v>14</v>
      </c>
      <c r="C185" s="189"/>
      <c r="D185" s="79">
        <f>IF((SUM(N58:N61)+SUM(N64:N64))&gt;R167,R167,(SUM(N58:N61)+SUM(N64:N64)))</f>
        <v>0</v>
      </c>
      <c r="E185" s="131" t="s">
        <v>15</v>
      </c>
      <c r="F185" s="133"/>
      <c r="G185" s="29" t="s">
        <v>1</v>
      </c>
      <c r="H185" s="149" t="s">
        <v>16</v>
      </c>
      <c r="I185" s="150"/>
      <c r="J185" s="30">
        <v>0</v>
      </c>
      <c r="K185" s="131" t="s">
        <v>84</v>
      </c>
      <c r="L185" s="133"/>
      <c r="M185" s="27">
        <v>0</v>
      </c>
      <c r="N185" s="7"/>
      <c r="O185" s="7"/>
      <c r="P185" s="7"/>
      <c r="Q185" s="7"/>
      <c r="R185" s="7"/>
      <c r="S185" s="7"/>
      <c r="T185" s="7"/>
      <c r="U185" s="34"/>
      <c r="V185" s="34"/>
      <c r="W185" s="34"/>
      <c r="X185" s="34"/>
      <c r="Y185" s="34"/>
      <c r="Z185" s="34"/>
      <c r="AA185" s="34"/>
      <c r="AB185" s="34"/>
      <c r="AC185" s="34"/>
    </row>
    <row r="186" spans="1:29" s="1" customFormat="1" x14ac:dyDescent="0.25">
      <c r="A186" s="7"/>
      <c r="B186" s="105" t="s">
        <v>243</v>
      </c>
      <c r="C186" s="107"/>
      <c r="D186" s="207"/>
      <c r="E186" s="208"/>
      <c r="F186" s="208"/>
      <c r="G186" s="208"/>
      <c r="H186" s="208"/>
      <c r="I186" s="208"/>
      <c r="J186" s="208"/>
      <c r="K186" s="208"/>
      <c r="L186" s="208"/>
      <c r="M186" s="208"/>
      <c r="N186" s="208"/>
      <c r="O186" s="208"/>
      <c r="P186" s="209"/>
      <c r="Q186" s="7"/>
      <c r="R186" s="7"/>
      <c r="S186" s="7"/>
      <c r="T186" s="7"/>
      <c r="U186" s="34"/>
      <c r="V186" s="34"/>
      <c r="W186" s="34"/>
      <c r="X186" s="34"/>
      <c r="Y186" s="34"/>
      <c r="Z186" s="34"/>
      <c r="AA186" s="34"/>
      <c r="AB186" s="34"/>
      <c r="AC186" s="34"/>
    </row>
    <row r="187" spans="1:29" s="1" customFormat="1" x14ac:dyDescent="0.25">
      <c r="A187" s="7"/>
      <c r="B187" s="7"/>
      <c r="C187" s="7"/>
      <c r="D187" s="7"/>
      <c r="E187" s="7"/>
      <c r="F187" s="7"/>
      <c r="G187" s="7"/>
      <c r="H187" s="7"/>
      <c r="I187" s="7"/>
      <c r="J187" s="7"/>
      <c r="K187" s="7"/>
      <c r="L187" s="7"/>
      <c r="M187" s="7"/>
      <c r="N187" s="7"/>
      <c r="O187" s="7"/>
      <c r="P187" s="7"/>
      <c r="Q187" s="7"/>
      <c r="R187" s="7"/>
      <c r="S187" s="7"/>
      <c r="T187" s="7"/>
      <c r="U187" s="34"/>
      <c r="V187" s="34"/>
      <c r="W187" s="34"/>
      <c r="X187" s="34"/>
      <c r="Y187" s="34"/>
      <c r="Z187" s="34"/>
      <c r="AA187" s="34"/>
      <c r="AB187" s="34"/>
      <c r="AC187" s="34"/>
    </row>
    <row r="188" spans="1:29" s="1" customFormat="1" x14ac:dyDescent="0.25">
      <c r="A188" s="7"/>
      <c r="B188" s="85" t="s">
        <v>85</v>
      </c>
      <c r="C188" s="85"/>
      <c r="D188" s="97" t="s">
        <v>917</v>
      </c>
      <c r="E188" s="148"/>
      <c r="F188" s="98"/>
      <c r="G188" s="85" t="s">
        <v>86</v>
      </c>
      <c r="H188" s="85"/>
      <c r="I188" s="27">
        <f>D179</f>
        <v>7</v>
      </c>
      <c r="J188" s="82" t="s">
        <v>87</v>
      </c>
      <c r="K188" s="27" t="str">
        <f>"1d8+"&amp;G167</f>
        <v>1d8+5</v>
      </c>
      <c r="L188" s="82" t="s">
        <v>88</v>
      </c>
      <c r="M188" s="27" t="s">
        <v>918</v>
      </c>
      <c r="N188" s="7"/>
      <c r="O188" s="7"/>
      <c r="P188" s="7"/>
      <c r="Q188" s="7"/>
      <c r="R188" s="7"/>
      <c r="S188" s="7"/>
      <c r="T188" s="7"/>
      <c r="U188" s="34"/>
      <c r="V188" s="34"/>
      <c r="W188" s="34"/>
      <c r="X188" s="34"/>
      <c r="Y188" s="34"/>
      <c r="Z188" s="34"/>
      <c r="AA188" s="34"/>
      <c r="AB188" s="34"/>
      <c r="AC188" s="34"/>
    </row>
    <row r="189" spans="1:29" s="1" customFormat="1" x14ac:dyDescent="0.25">
      <c r="A189" s="7"/>
      <c r="B189" s="85" t="s">
        <v>90</v>
      </c>
      <c r="C189" s="85"/>
      <c r="D189" s="97" t="s">
        <v>919</v>
      </c>
      <c r="E189" s="148"/>
      <c r="F189" s="98"/>
      <c r="G189" s="85" t="s">
        <v>86</v>
      </c>
      <c r="H189" s="85"/>
      <c r="I189" s="27">
        <f>D180</f>
        <v>3</v>
      </c>
      <c r="J189" s="82" t="s">
        <v>87</v>
      </c>
      <c r="K189" s="27" t="s">
        <v>1</v>
      </c>
      <c r="L189" s="82" t="s">
        <v>88</v>
      </c>
      <c r="M189" s="27" t="s">
        <v>1</v>
      </c>
      <c r="N189" s="85" t="s">
        <v>89</v>
      </c>
      <c r="O189" s="85"/>
      <c r="P189" s="27" t="s">
        <v>920</v>
      </c>
      <c r="Q189" s="7"/>
      <c r="R189" s="7"/>
      <c r="S189" s="7"/>
      <c r="T189" s="7"/>
      <c r="U189" s="34"/>
      <c r="V189" s="34"/>
      <c r="W189" s="34"/>
      <c r="X189" s="34"/>
      <c r="Y189" s="34"/>
      <c r="Z189" s="34"/>
      <c r="AA189" s="34"/>
      <c r="AB189" s="34"/>
      <c r="AC189" s="34"/>
    </row>
    <row r="190" spans="1:29" s="1" customFormat="1" x14ac:dyDescent="0.25">
      <c r="B190" s="7"/>
      <c r="C190" s="7"/>
      <c r="D190" s="7"/>
      <c r="E190" s="7"/>
      <c r="F190" s="7"/>
      <c r="G190" s="7"/>
      <c r="H190" s="7"/>
      <c r="I190" s="7"/>
      <c r="J190" s="7"/>
      <c r="K190" s="7"/>
      <c r="L190" s="7"/>
      <c r="M190" s="7"/>
      <c r="N190" s="7"/>
      <c r="O190" s="7"/>
      <c r="P190" s="7"/>
      <c r="Q190" s="7"/>
      <c r="R190" s="7"/>
      <c r="S190" s="7"/>
      <c r="T190" s="7"/>
      <c r="U190" s="34"/>
      <c r="V190" s="34"/>
      <c r="W190" s="34"/>
      <c r="X190" s="34"/>
      <c r="Y190" s="34"/>
      <c r="Z190" s="34"/>
      <c r="AA190" s="34"/>
      <c r="AB190" s="34"/>
      <c r="AC190" s="34"/>
    </row>
    <row r="191" spans="1:29" s="1" customFormat="1" x14ac:dyDescent="0.25">
      <c r="B191" s="7" t="s">
        <v>938</v>
      </c>
      <c r="C191" s="7"/>
      <c r="D191" s="7"/>
      <c r="E191" s="7"/>
      <c r="F191" s="7"/>
      <c r="G191" s="7"/>
      <c r="H191" s="7"/>
      <c r="I191" s="7"/>
      <c r="J191" s="7"/>
      <c r="K191" s="7"/>
      <c r="L191" s="7"/>
      <c r="M191" s="7"/>
      <c r="N191" s="7"/>
      <c r="O191" s="7"/>
      <c r="P191" s="7"/>
      <c r="Q191" s="7"/>
      <c r="R191" s="7"/>
      <c r="S191" s="7"/>
      <c r="T191" s="7"/>
      <c r="U191" s="34"/>
      <c r="V191" s="34"/>
      <c r="W191" s="34"/>
      <c r="X191" s="34"/>
      <c r="Y191" s="34"/>
      <c r="Z191" s="34"/>
      <c r="AA191" s="34"/>
      <c r="AB191" s="34"/>
      <c r="AC191" s="34"/>
    </row>
    <row r="192" spans="1:29" s="7" customFormat="1" x14ac:dyDescent="0.25">
      <c r="B192" s="111" t="s">
        <v>62</v>
      </c>
      <c r="C192" s="111"/>
      <c r="D192" s="111"/>
      <c r="E192" s="111" t="s">
        <v>63</v>
      </c>
      <c r="F192" s="111"/>
      <c r="G192" s="111"/>
      <c r="H192" s="111" t="s">
        <v>64</v>
      </c>
      <c r="I192" s="111"/>
      <c r="J192" s="111"/>
      <c r="K192" s="111" t="s">
        <v>65</v>
      </c>
      <c r="L192" s="111"/>
      <c r="M192" s="111" t="s">
        <v>60</v>
      </c>
      <c r="N192" s="111"/>
      <c r="O192" s="111"/>
      <c r="P192" s="111" t="s">
        <v>61</v>
      </c>
      <c r="Q192" s="111"/>
      <c r="U192" s="34"/>
      <c r="V192" s="34"/>
      <c r="W192" s="34"/>
      <c r="X192" s="34"/>
      <c r="Y192" s="34"/>
      <c r="Z192" s="34"/>
      <c r="AA192" s="34"/>
      <c r="AB192" s="34"/>
      <c r="AC192" s="34"/>
    </row>
    <row r="193" spans="2:29" s="1" customFormat="1" x14ac:dyDescent="0.25">
      <c r="B193" s="154">
        <f>LOOKUP(F167, {1,2,3,4,5,6,7,8,9,10,11,12,13,14,15,16,17,18,19,20,21,22,23,24,25,26,27,28,29,30,31,32,33,34,35,36,37,38,39,40}, {3,6,10,13,16,20,23,26,30,33,38,43,50,58,66,76,86,100,116,133,153,173,200,233,266,306,346,400,466,532,612,692,800,932,1064,1224,1384,1600,1864,2128})</f>
        <v>153</v>
      </c>
      <c r="C193" s="154"/>
      <c r="D193" s="154"/>
      <c r="E193" s="154">
        <f>LOOKUP(F167, {1,2,3,4,5,6,7,8,9,10,11,12,13,14,15,16,17,18,19,20,21,22,23,24,25,26,27,28,29,30,31,32,33,34,35,36,37,38,39,40}, {6,13,20,26,33,40,46,53,60,66,76,86,100,116,133,153,173,200,233,266,306,346,400,466,533,613,693,800,933,1064,1224,1384,1600,1864,2132,2452,2772,3200,3732,4256})</f>
        <v>306</v>
      </c>
      <c r="F193" s="154"/>
      <c r="G193" s="154"/>
      <c r="H193" s="154">
        <f>LOOKUP(F167, {1,2,3,4,5,6,7,8,9,10,11,12,13,14,15,16,17,18,19,20,21,22,23,24,25,26,27,28,29,30,31,32,33,34,35,36,37,38,39,40}, {10,20,30,40,50,60,70,80,90,100,115,130,150,175,200,230,260,300,350,400,460,520,600,700,800,920,1040,1200,1400,1600,1840,2080,2400,2800,3200,3680,4160,4800,5600,6400})</f>
        <v>460</v>
      </c>
      <c r="I193" s="154"/>
      <c r="J193" s="154"/>
      <c r="K193" s="154">
        <v>0</v>
      </c>
      <c r="L193" s="154"/>
      <c r="M193" s="188">
        <v>30</v>
      </c>
      <c r="N193" s="188"/>
      <c r="O193" s="188"/>
      <c r="P193" s="154">
        <f>IF(M193&gt;=30,M193-(IF(B193&gt;=K193,0,10)),M193-(IF(B193&gt;=K193,0,5)))</f>
        <v>30</v>
      </c>
      <c r="Q193" s="154"/>
      <c r="R193" s="17">
        <f>IF(AND(K193&gt;B193,K193&lt;=E193),-3,IF(AND(K193&gt;E193,K193&lt;=H193),-6,0))</f>
        <v>0</v>
      </c>
      <c r="U193" s="34"/>
      <c r="V193" s="34"/>
      <c r="W193" s="34"/>
      <c r="X193" s="34"/>
      <c r="Y193" s="34"/>
      <c r="Z193" s="34"/>
      <c r="AA193" s="34"/>
      <c r="AB193" s="34"/>
      <c r="AC193" s="34"/>
    </row>
    <row r="194" spans="2:29" s="1" customFormat="1" x14ac:dyDescent="0.25">
      <c r="B194" s="7"/>
      <c r="C194" s="7"/>
      <c r="D194" s="7"/>
      <c r="E194" s="7"/>
      <c r="F194" s="7"/>
      <c r="G194" s="7"/>
      <c r="H194" s="7"/>
      <c r="I194" s="7"/>
      <c r="J194" s="7"/>
      <c r="K194" s="7"/>
      <c r="L194" s="7"/>
      <c r="M194" s="7"/>
      <c r="N194" s="7"/>
      <c r="O194" s="7"/>
      <c r="P194" s="7"/>
      <c r="Q194" s="7"/>
      <c r="R194" s="7"/>
      <c r="S194" s="7"/>
      <c r="T194" s="7"/>
      <c r="U194" s="34"/>
      <c r="V194" s="34"/>
      <c r="W194" s="34"/>
      <c r="X194" s="34"/>
      <c r="Y194" s="34"/>
      <c r="Z194" s="34"/>
      <c r="AA194" s="34"/>
      <c r="AB194" s="34"/>
      <c r="AC194" s="34"/>
    </row>
    <row r="195" spans="2:29" s="1" customFormat="1" x14ac:dyDescent="0.25">
      <c r="B195" s="7" t="s">
        <v>922</v>
      </c>
      <c r="C195" s="7"/>
      <c r="D195" s="7"/>
      <c r="E195" s="7"/>
      <c r="F195" s="7"/>
      <c r="G195" s="7"/>
      <c r="H195" s="7"/>
      <c r="I195" s="7"/>
      <c r="J195" s="7"/>
      <c r="K195" s="7"/>
      <c r="L195" s="7"/>
      <c r="M195" s="7"/>
      <c r="N195" s="7"/>
      <c r="O195" s="7"/>
      <c r="P195" s="7"/>
      <c r="Q195" s="7"/>
      <c r="R195" s="7"/>
      <c r="S195" s="7"/>
      <c r="T195" s="7"/>
      <c r="U195" s="34"/>
      <c r="V195" s="34"/>
      <c r="W195" s="34"/>
      <c r="X195" s="34"/>
      <c r="Y195" s="34"/>
      <c r="Z195" s="34"/>
      <c r="AA195" s="34"/>
      <c r="AB195" s="34"/>
      <c r="AC195" s="34"/>
    </row>
    <row r="196" spans="2:29" s="7" customFormat="1" x14ac:dyDescent="0.25">
      <c r="B196" s="111" t="s">
        <v>62</v>
      </c>
      <c r="C196" s="111"/>
      <c r="D196" s="111"/>
      <c r="E196" s="111" t="s">
        <v>63</v>
      </c>
      <c r="F196" s="111"/>
      <c r="G196" s="111"/>
      <c r="H196" s="111" t="s">
        <v>64</v>
      </c>
      <c r="I196" s="111"/>
      <c r="J196" s="111"/>
      <c r="K196" s="111" t="s">
        <v>65</v>
      </c>
      <c r="L196" s="111"/>
      <c r="M196" s="111" t="s">
        <v>60</v>
      </c>
      <c r="N196" s="111"/>
      <c r="O196" s="111"/>
      <c r="P196" s="111" t="s">
        <v>61</v>
      </c>
      <c r="Q196" s="111"/>
      <c r="U196" s="34"/>
      <c r="V196" s="34"/>
      <c r="W196" s="34"/>
      <c r="X196" s="34"/>
      <c r="Y196" s="34"/>
      <c r="Z196" s="34"/>
      <c r="AA196" s="34"/>
      <c r="AB196" s="34"/>
      <c r="AC196" s="34"/>
    </row>
    <row r="197" spans="2:29" s="1" customFormat="1" x14ac:dyDescent="0.25">
      <c r="B197" s="154">
        <f>LOOKUP(F167, {1,2,3,4,5,6,7,8,9,10,11,12,13,14,15,16,17,18,19,20,21,22,23,24,25,26,27,28,29,30,31,32,33,34,35,36,37,38,39,40}, {3,6,10,13,16,20,23,26,30,33,38,43,50,58,66,76,86,100,116,133,153,173,200,233,266,306,346,400,466,532,612,692,800,932,1064,1224,1384,1600,1864,2128})</f>
        <v>153</v>
      </c>
      <c r="C197" s="154"/>
      <c r="D197" s="154"/>
      <c r="E197" s="154">
        <f>LOOKUP(F167, {1,2,3,4,5,6,7,8,9,10,11,12,13,14,15,16,17,18,19,20,21,22,23,24,25,26,27,28,29,30,31,32,33,34,35,36,37,38,39,40}, {6,13,20,26,33,40,46,53,60,66,76,86,100,116,133,153,173,200,233,266,306,346,400,466,533,613,693,800,933,1064,1224,1384,1600,1864,2132,2452,2772,3200,3732,4256})</f>
        <v>306</v>
      </c>
      <c r="F197" s="154"/>
      <c r="G197" s="154"/>
      <c r="H197" s="154">
        <f>LOOKUP(F167, {1,2,3,4,5,6,7,8,9,10,11,12,13,14,15,16,17,18,19,20,21,22,23,24,25,26,27,28,29,30,31,32,33,34,35,36,37,38,39,40}, {10,20,30,40,50,60,70,80,90,100,115,130,150,175,200,230,260,300,350,400,460,520,600,700,800,920,1040,1200,1400,1600,1840,2080,2400,2800,3200,3680,4160,4800,5600,6400})</f>
        <v>460</v>
      </c>
      <c r="I197" s="154"/>
      <c r="J197" s="154"/>
      <c r="K197" s="154">
        <v>0</v>
      </c>
      <c r="L197" s="154"/>
      <c r="M197" s="188">
        <v>20</v>
      </c>
      <c r="N197" s="188"/>
      <c r="O197" s="188"/>
      <c r="P197" s="154">
        <f>IF(M197&gt;=30,M197-(IF(B197&gt;=K197,0,10)),M197-(IF(B197&gt;=K197,0,5)))</f>
        <v>20</v>
      </c>
      <c r="Q197" s="154"/>
      <c r="R197" s="17">
        <f>IF(AND(K197&gt;B197,K197&lt;=E197),-3,IF(AND(K197&gt;E197,K197&lt;=H197),-6,0))</f>
        <v>0</v>
      </c>
      <c r="U197" s="34"/>
      <c r="V197" s="34"/>
      <c r="W197" s="34"/>
      <c r="X197" s="34"/>
      <c r="Y197" s="34"/>
      <c r="Z197" s="34"/>
      <c r="AA197" s="34"/>
      <c r="AB197" s="34"/>
      <c r="AC197" s="34"/>
    </row>
    <row r="198" spans="2:29" s="1" customFormat="1" x14ac:dyDescent="0.25">
      <c r="B198" s="7"/>
      <c r="C198" s="7"/>
      <c r="D198" s="7"/>
      <c r="E198" s="7"/>
      <c r="F198" s="7"/>
      <c r="G198" s="7"/>
      <c r="H198" s="7"/>
      <c r="I198" s="7"/>
      <c r="J198" s="7"/>
      <c r="K198" s="7"/>
      <c r="L198" s="7"/>
      <c r="M198" s="7"/>
      <c r="N198" s="7"/>
      <c r="O198" s="7"/>
      <c r="P198" s="7"/>
      <c r="Q198" s="7"/>
      <c r="R198" s="7"/>
      <c r="S198" s="7"/>
      <c r="T198" s="7"/>
      <c r="U198" s="34"/>
      <c r="V198" s="34"/>
      <c r="W198" s="34"/>
      <c r="X198" s="34"/>
      <c r="Y198" s="34"/>
      <c r="Z198" s="34"/>
      <c r="AA198" s="34"/>
      <c r="AB198" s="34"/>
      <c r="AC198" s="34"/>
    </row>
    <row r="199" spans="2:29" s="7" customFormat="1" x14ac:dyDescent="0.25">
      <c r="B199" s="7" t="s">
        <v>92</v>
      </c>
      <c r="U199" s="34"/>
      <c r="V199" s="34"/>
      <c r="W199" s="34"/>
      <c r="X199" s="34"/>
      <c r="Y199" s="34"/>
      <c r="Z199" s="34"/>
      <c r="AA199" s="34"/>
      <c r="AB199" s="34"/>
      <c r="AC199" s="34"/>
    </row>
    <row r="200" spans="2:29" s="7" customFormat="1" ht="15" customHeight="1" x14ac:dyDescent="0.25">
      <c r="B200" s="139" t="s">
        <v>22</v>
      </c>
      <c r="C200" s="140"/>
      <c r="D200" s="140"/>
      <c r="E200" s="141"/>
      <c r="F200" s="139" t="s">
        <v>93</v>
      </c>
      <c r="G200" s="140"/>
      <c r="H200" s="140"/>
      <c r="I200" s="140"/>
      <c r="J200" s="140"/>
      <c r="K200" s="140"/>
      <c r="L200" s="140"/>
      <c r="M200" s="140"/>
      <c r="N200" s="140"/>
      <c r="O200" s="140"/>
      <c r="P200" s="141"/>
      <c r="Q200" s="139" t="s">
        <v>42</v>
      </c>
      <c r="R200" s="140"/>
      <c r="S200" s="141"/>
      <c r="U200" s="34"/>
      <c r="V200" s="34"/>
      <c r="W200" s="34"/>
      <c r="X200" s="34"/>
      <c r="Y200" s="34"/>
      <c r="Z200" s="34"/>
      <c r="AA200" s="34"/>
      <c r="AB200" s="34"/>
      <c r="AC200" s="34"/>
    </row>
    <row r="201" spans="2:29" s="7" customFormat="1" x14ac:dyDescent="0.25">
      <c r="B201" s="90" t="s">
        <v>923</v>
      </c>
      <c r="C201" s="91"/>
      <c r="D201" s="91"/>
      <c r="E201" s="92"/>
      <c r="F201" s="99" t="s">
        <v>924</v>
      </c>
      <c r="G201" s="91"/>
      <c r="H201" s="91"/>
      <c r="I201" s="91"/>
      <c r="J201" s="91"/>
      <c r="K201" s="91"/>
      <c r="L201" s="91"/>
      <c r="M201" s="91"/>
      <c r="N201" s="91"/>
      <c r="O201" s="91"/>
      <c r="P201" s="92"/>
      <c r="Q201" s="90" t="s">
        <v>925</v>
      </c>
      <c r="R201" s="91"/>
      <c r="S201" s="92"/>
      <c r="U201" s="34"/>
      <c r="V201" s="34"/>
      <c r="W201" s="34"/>
      <c r="X201" s="34"/>
      <c r="Y201" s="34"/>
      <c r="Z201" s="34"/>
      <c r="AA201" s="34"/>
      <c r="AB201" s="34"/>
      <c r="AC201" s="34"/>
    </row>
    <row r="202" spans="2:29" s="1" customFormat="1" x14ac:dyDescent="0.25">
      <c r="B202" s="7"/>
      <c r="C202" s="7"/>
      <c r="D202" s="7"/>
      <c r="E202" s="7"/>
      <c r="F202" s="7"/>
      <c r="G202" s="7"/>
      <c r="H202" s="7"/>
      <c r="I202" s="7"/>
      <c r="J202" s="7"/>
      <c r="K202" s="7"/>
      <c r="L202" s="7"/>
      <c r="M202" s="7"/>
      <c r="N202" s="7"/>
      <c r="O202" s="7"/>
      <c r="P202" s="7"/>
      <c r="Q202" s="7"/>
      <c r="R202" s="7"/>
      <c r="S202" s="7"/>
      <c r="T202" s="7"/>
      <c r="U202" s="34"/>
      <c r="V202" s="34"/>
      <c r="W202" s="34"/>
      <c r="X202" s="34"/>
      <c r="Y202" s="34"/>
      <c r="Z202" s="34"/>
      <c r="AA202" s="34"/>
      <c r="AB202" s="34"/>
      <c r="AC202" s="34"/>
    </row>
    <row r="203" spans="2:29" s="7" customFormat="1" ht="15" customHeight="1" x14ac:dyDescent="0.25">
      <c r="B203" s="7" t="s">
        <v>926</v>
      </c>
      <c r="U203" s="34"/>
      <c r="V203" s="34"/>
      <c r="W203" s="34"/>
      <c r="X203" s="34"/>
      <c r="Y203" s="34"/>
      <c r="Z203" s="34"/>
      <c r="AA203" s="34"/>
      <c r="AB203" s="34"/>
      <c r="AC203" s="34"/>
    </row>
    <row r="204" spans="2:29" s="7" customFormat="1" ht="15" customHeight="1" x14ac:dyDescent="0.25">
      <c r="B204" s="139" t="s">
        <v>22</v>
      </c>
      <c r="C204" s="140"/>
      <c r="D204" s="140"/>
      <c r="E204" s="141"/>
      <c r="F204" s="139" t="s">
        <v>93</v>
      </c>
      <c r="G204" s="140"/>
      <c r="H204" s="140"/>
      <c r="I204" s="140"/>
      <c r="J204" s="140"/>
      <c r="K204" s="140"/>
      <c r="L204" s="140"/>
      <c r="M204" s="140"/>
      <c r="N204" s="140"/>
      <c r="O204" s="140"/>
      <c r="P204" s="141"/>
      <c r="Q204" s="139" t="s">
        <v>42</v>
      </c>
      <c r="R204" s="140"/>
      <c r="S204" s="141"/>
      <c r="U204" s="34"/>
      <c r="V204" s="34"/>
      <c r="W204" s="34"/>
      <c r="X204" s="34"/>
      <c r="Y204" s="34"/>
      <c r="Z204" s="34"/>
      <c r="AA204" s="34"/>
      <c r="AB204" s="34"/>
      <c r="AC204" s="34"/>
    </row>
    <row r="205" spans="2:29" s="7" customFormat="1" x14ac:dyDescent="0.25">
      <c r="B205" s="90" t="s">
        <v>927</v>
      </c>
      <c r="C205" s="91"/>
      <c r="D205" s="91"/>
      <c r="E205" s="92"/>
      <c r="F205" s="99" t="s">
        <v>945</v>
      </c>
      <c r="G205" s="91"/>
      <c r="H205" s="91"/>
      <c r="I205" s="91"/>
      <c r="J205" s="91"/>
      <c r="K205" s="91"/>
      <c r="L205" s="91"/>
      <c r="M205" s="91"/>
      <c r="N205" s="91"/>
      <c r="O205" s="91"/>
      <c r="P205" s="92"/>
      <c r="Q205" s="90" t="s">
        <v>913</v>
      </c>
      <c r="R205" s="91"/>
      <c r="S205" s="92"/>
      <c r="U205" s="34"/>
      <c r="V205" s="34"/>
      <c r="W205" s="34"/>
      <c r="X205" s="34"/>
      <c r="Y205" s="34"/>
      <c r="Z205" s="34"/>
      <c r="AA205" s="34"/>
      <c r="AB205" s="34"/>
      <c r="AC205" s="34"/>
    </row>
    <row r="206" spans="2:29" s="7" customFormat="1" x14ac:dyDescent="0.25">
      <c r="B206" s="90" t="s">
        <v>919</v>
      </c>
      <c r="C206" s="91"/>
      <c r="D206" s="91"/>
      <c r="E206" s="92"/>
      <c r="F206" s="99" t="s">
        <v>946</v>
      </c>
      <c r="G206" s="91"/>
      <c r="H206" s="91"/>
      <c r="I206" s="91"/>
      <c r="J206" s="91"/>
      <c r="K206" s="91"/>
      <c r="L206" s="91"/>
      <c r="M206" s="91"/>
      <c r="N206" s="91"/>
      <c r="O206" s="91"/>
      <c r="P206" s="92"/>
      <c r="Q206" s="90" t="s">
        <v>913</v>
      </c>
      <c r="R206" s="91"/>
      <c r="S206" s="92"/>
      <c r="U206" s="34"/>
      <c r="V206" s="34"/>
      <c r="W206" s="34"/>
      <c r="X206" s="34"/>
      <c r="Y206" s="34"/>
      <c r="Z206" s="34"/>
      <c r="AA206" s="34"/>
      <c r="AB206" s="34"/>
      <c r="AC206" s="34"/>
    </row>
    <row r="207" spans="2:29" s="1" customFormat="1" x14ac:dyDescent="0.25">
      <c r="B207" s="7"/>
      <c r="C207" s="7"/>
      <c r="D207" s="7"/>
      <c r="E207" s="7"/>
      <c r="F207" s="7"/>
      <c r="G207" s="7"/>
      <c r="H207" s="7"/>
      <c r="I207" s="7"/>
      <c r="J207" s="7"/>
      <c r="K207" s="7"/>
      <c r="L207" s="7"/>
      <c r="M207" s="7"/>
      <c r="N207" s="7"/>
      <c r="O207" s="7"/>
      <c r="P207" s="7"/>
      <c r="Q207" s="7"/>
      <c r="R207" s="7"/>
      <c r="S207" s="7"/>
      <c r="T207" s="7"/>
      <c r="U207" s="34"/>
      <c r="V207" s="34"/>
      <c r="W207" s="34"/>
      <c r="X207" s="34"/>
      <c r="Y207" s="34"/>
      <c r="Z207" s="34"/>
      <c r="AA207" s="34"/>
      <c r="AB207" s="34"/>
      <c r="AC207" s="34"/>
    </row>
    <row r="208" spans="2:29" s="5" customFormat="1" x14ac:dyDescent="0.25">
      <c r="B208" s="11"/>
      <c r="C208" s="11"/>
      <c r="D208" s="11"/>
      <c r="E208" s="11"/>
      <c r="F208" s="11"/>
      <c r="G208" s="11"/>
      <c r="H208" s="11"/>
      <c r="I208" s="11"/>
      <c r="J208" s="11"/>
      <c r="K208" s="11"/>
      <c r="L208" s="11"/>
      <c r="M208" s="11"/>
      <c r="N208" s="11"/>
      <c r="O208" s="11"/>
      <c r="P208" s="11"/>
      <c r="Q208" s="11"/>
      <c r="R208" s="11"/>
      <c r="S208" s="11"/>
      <c r="T208" s="11"/>
      <c r="U208" s="33"/>
      <c r="V208" s="33"/>
      <c r="W208" s="33"/>
      <c r="X208" s="33"/>
      <c r="Y208" s="33"/>
      <c r="Z208" s="33"/>
      <c r="AA208" s="33"/>
      <c r="AB208" s="33"/>
      <c r="AC208" s="33"/>
    </row>
    <row r="209" spans="2:29" s="1" customFormat="1" x14ac:dyDescent="0.25">
      <c r="B209" s="164" t="s">
        <v>5</v>
      </c>
      <c r="C209" s="164"/>
      <c r="D209" s="90" t="s">
        <v>947</v>
      </c>
      <c r="E209" s="91"/>
      <c r="F209" s="92"/>
      <c r="U209" s="34"/>
      <c r="V209" s="34"/>
      <c r="W209" s="34"/>
      <c r="X209" s="34"/>
      <c r="Y209" s="34"/>
      <c r="Z209" s="34"/>
      <c r="AA209" s="34"/>
      <c r="AB209" s="34"/>
      <c r="AC209" s="34"/>
    </row>
    <row r="210" spans="2:29" s="1" customFormat="1" x14ac:dyDescent="0.25">
      <c r="B210" s="164" t="s">
        <v>208</v>
      </c>
      <c r="C210" s="164"/>
      <c r="D210" s="90" t="s">
        <v>911</v>
      </c>
      <c r="E210" s="91"/>
      <c r="F210" s="92"/>
      <c r="U210" s="34"/>
      <c r="V210" s="34"/>
      <c r="W210" s="34"/>
      <c r="X210" s="34"/>
      <c r="Y210" s="34"/>
      <c r="Z210" s="34"/>
      <c r="AA210" s="34"/>
      <c r="AB210" s="34"/>
      <c r="AC210" s="34"/>
    </row>
    <row r="211" spans="2:29" s="1" customFormat="1" x14ac:dyDescent="0.25">
      <c r="B211" s="164" t="s">
        <v>17</v>
      </c>
      <c r="C211" s="164"/>
      <c r="D211" s="90" t="s">
        <v>197</v>
      </c>
      <c r="E211" s="91"/>
      <c r="F211" s="92"/>
      <c r="U211" s="34"/>
      <c r="V211" s="34"/>
      <c r="W211" s="34"/>
      <c r="X211" s="34"/>
      <c r="Y211" s="34"/>
      <c r="Z211" s="34"/>
      <c r="AA211" s="34"/>
      <c r="AB211" s="34"/>
      <c r="AC211" s="34"/>
    </row>
    <row r="212" spans="2:29" s="1" customFormat="1" x14ac:dyDescent="0.25">
      <c r="B212" s="164" t="s">
        <v>912</v>
      </c>
      <c r="C212" s="164"/>
      <c r="D212" s="90" t="s">
        <v>913</v>
      </c>
      <c r="E212" s="91"/>
      <c r="F212" s="92"/>
      <c r="U212" s="34"/>
      <c r="V212" s="34"/>
      <c r="W212" s="34"/>
      <c r="X212" s="34"/>
      <c r="Y212" s="34"/>
      <c r="Z212" s="34"/>
      <c r="AA212" s="34"/>
      <c r="AB212" s="34"/>
      <c r="AC212" s="34"/>
    </row>
    <row r="213" spans="2:29" s="1" customFormat="1" x14ac:dyDescent="0.25">
      <c r="B213" s="7"/>
      <c r="C213" s="7"/>
      <c r="D213" s="7"/>
      <c r="E213" s="7"/>
      <c r="F213" s="7"/>
      <c r="G213" s="7"/>
      <c r="H213" s="7"/>
      <c r="I213" s="7"/>
      <c r="J213" s="7"/>
      <c r="K213" s="7"/>
      <c r="L213" s="7"/>
      <c r="M213" s="7"/>
      <c r="N213" s="7"/>
      <c r="O213" s="7"/>
      <c r="P213" s="7"/>
      <c r="Q213" s="7"/>
      <c r="R213" s="7"/>
      <c r="S213" s="7"/>
      <c r="T213" s="7"/>
      <c r="U213" s="34"/>
      <c r="V213" s="34"/>
      <c r="W213" s="34"/>
      <c r="X213" s="34"/>
      <c r="Y213" s="34"/>
      <c r="Z213" s="34"/>
      <c r="AA213" s="34"/>
      <c r="AB213" s="34"/>
      <c r="AC213" s="34"/>
    </row>
    <row r="214" spans="2:29" s="1" customFormat="1" x14ac:dyDescent="0.25">
      <c r="B214" s="7" t="s">
        <v>915</v>
      </c>
      <c r="C214" s="7"/>
      <c r="D214" s="7"/>
      <c r="E214" s="7"/>
      <c r="F214" s="7"/>
      <c r="G214" s="7"/>
      <c r="H214" s="7"/>
      <c r="I214" s="7"/>
      <c r="J214" s="7"/>
      <c r="K214" s="7"/>
      <c r="L214" s="7"/>
      <c r="M214" s="7"/>
      <c r="N214" s="7"/>
      <c r="O214" s="7"/>
      <c r="P214" s="7"/>
      <c r="Q214" s="7"/>
      <c r="R214" s="7"/>
      <c r="S214" s="7"/>
      <c r="T214" s="7"/>
      <c r="U214" s="34"/>
      <c r="V214" s="34"/>
      <c r="W214" s="34"/>
      <c r="X214" s="34"/>
      <c r="Y214" s="34"/>
      <c r="Z214" s="34"/>
      <c r="AA214" s="34"/>
      <c r="AB214" s="34"/>
      <c r="AC214" s="34"/>
    </row>
    <row r="215" spans="2:29" s="1" customFormat="1" x14ac:dyDescent="0.25">
      <c r="B215" s="83" t="s">
        <v>22</v>
      </c>
      <c r="C215" s="78" t="s">
        <v>23</v>
      </c>
      <c r="D215" s="83" t="s">
        <v>255</v>
      </c>
      <c r="E215" s="83" t="s">
        <v>254</v>
      </c>
      <c r="F215" s="78" t="s">
        <v>68</v>
      </c>
      <c r="G215" s="78" t="s">
        <v>24</v>
      </c>
      <c r="I215" s="7"/>
      <c r="U215" s="34"/>
      <c r="V215" s="34"/>
      <c r="W215" s="34"/>
      <c r="X215" s="34"/>
      <c r="Y215" s="34"/>
      <c r="Z215" s="34"/>
      <c r="AA215" s="34"/>
      <c r="AB215" s="34"/>
      <c r="AC215" s="34"/>
    </row>
    <row r="216" spans="2:29" s="1" customFormat="1" x14ac:dyDescent="0.25">
      <c r="B216" s="83" t="s">
        <v>25</v>
      </c>
      <c r="C216" s="80">
        <v>19</v>
      </c>
      <c r="D216" s="77">
        <v>0</v>
      </c>
      <c r="E216" s="32">
        <v>0</v>
      </c>
      <c r="F216" s="24">
        <f>(C216+D216+E216+6)</f>
        <v>25</v>
      </c>
      <c r="G216" s="76">
        <f>FLOOR((F216-10)/2,1)</f>
        <v>7</v>
      </c>
      <c r="U216" s="34"/>
      <c r="V216" s="34"/>
      <c r="W216" s="34"/>
      <c r="X216" s="34"/>
      <c r="Y216" s="34"/>
      <c r="Z216" s="34"/>
      <c r="AA216" s="34"/>
      <c r="AB216" s="34"/>
      <c r="AC216" s="34"/>
    </row>
    <row r="217" spans="2:29" s="1" customFormat="1" x14ac:dyDescent="0.25">
      <c r="B217" s="83" t="s">
        <v>26</v>
      </c>
      <c r="C217" s="80">
        <v>17</v>
      </c>
      <c r="D217" s="77">
        <v>0</v>
      </c>
      <c r="E217" s="32">
        <v>0</v>
      </c>
      <c r="F217" s="24">
        <f t="shared" ref="F217" si="8">(C217+D217+E217)</f>
        <v>17</v>
      </c>
      <c r="G217" s="76">
        <f t="shared" ref="G217:G218" si="9">FLOOR((F217-10)/2,1)</f>
        <v>3</v>
      </c>
      <c r="U217" s="34"/>
      <c r="V217" s="34"/>
      <c r="W217" s="34"/>
      <c r="X217" s="34"/>
      <c r="Y217" s="34"/>
      <c r="Z217" s="34"/>
      <c r="AA217" s="34"/>
      <c r="AB217" s="34"/>
      <c r="AC217" s="34"/>
    </row>
    <row r="218" spans="2:29" s="1" customFormat="1" x14ac:dyDescent="0.25">
      <c r="B218" s="8" t="s">
        <v>27</v>
      </c>
      <c r="C218" s="80">
        <v>14</v>
      </c>
      <c r="D218" s="77">
        <v>0</v>
      </c>
      <c r="E218" s="32">
        <v>0</v>
      </c>
      <c r="F218" s="24">
        <f>(C218+D218+E218+6)</f>
        <v>20</v>
      </c>
      <c r="G218" s="76">
        <f t="shared" si="9"/>
        <v>5</v>
      </c>
      <c r="U218" s="34"/>
      <c r="V218" s="34"/>
      <c r="W218" s="34"/>
      <c r="X218" s="34"/>
      <c r="Y218" s="34"/>
      <c r="Z218" s="34"/>
      <c r="AA218" s="34"/>
      <c r="AB218" s="34"/>
      <c r="AC218" s="34"/>
    </row>
    <row r="219" spans="2:29" s="1" customFormat="1" x14ac:dyDescent="0.25">
      <c r="B219" s="7"/>
      <c r="C219" s="7"/>
      <c r="D219" s="7"/>
      <c r="E219" s="7"/>
      <c r="F219" s="7"/>
      <c r="G219" s="7"/>
      <c r="H219" s="7"/>
      <c r="I219" s="7"/>
      <c r="J219" s="7"/>
      <c r="K219" s="7"/>
      <c r="L219" s="7"/>
      <c r="M219" s="7"/>
      <c r="N219" s="7"/>
      <c r="O219" s="7"/>
      <c r="P219" s="7"/>
      <c r="Q219" s="7"/>
      <c r="R219" s="7"/>
      <c r="S219" s="7"/>
      <c r="T219" s="7"/>
      <c r="U219" s="34"/>
      <c r="V219" s="34"/>
      <c r="W219" s="34"/>
      <c r="X219" s="34"/>
      <c r="Y219" s="34"/>
      <c r="Z219" s="34"/>
      <c r="AA219" s="34"/>
      <c r="AB219" s="34"/>
      <c r="AC219" s="34"/>
    </row>
    <row r="220" spans="2:29" s="1" customFormat="1" x14ac:dyDescent="0.25">
      <c r="B220" s="7" t="s">
        <v>934</v>
      </c>
      <c r="U220" s="34"/>
      <c r="V220" s="34"/>
      <c r="W220" s="34"/>
      <c r="X220" s="34"/>
      <c r="Y220" s="34"/>
      <c r="Z220" s="34"/>
      <c r="AA220" s="34"/>
      <c r="AB220" s="34"/>
      <c r="AC220" s="34"/>
    </row>
    <row r="221" spans="2:29" s="7" customFormat="1" x14ac:dyDescent="0.25">
      <c r="B221" s="83" t="s">
        <v>31</v>
      </c>
      <c r="C221" s="25">
        <f>(F221+I221+L221+O221)</f>
        <v>10</v>
      </c>
      <c r="D221" s="111" t="s">
        <v>34</v>
      </c>
      <c r="E221" s="111"/>
      <c r="F221" s="81">
        <v>5</v>
      </c>
      <c r="G221" s="215" t="s">
        <v>935</v>
      </c>
      <c r="H221" s="216"/>
      <c r="I221" s="25">
        <f>G218</f>
        <v>5</v>
      </c>
      <c r="J221" s="111" t="s">
        <v>936</v>
      </c>
      <c r="K221" s="111"/>
      <c r="L221" s="214"/>
      <c r="M221" s="111" t="s">
        <v>937</v>
      </c>
      <c r="N221" s="111"/>
      <c r="O221" s="214"/>
      <c r="U221" s="34"/>
      <c r="V221" s="34"/>
      <c r="W221" s="34"/>
      <c r="X221" s="34"/>
      <c r="Y221" s="34"/>
      <c r="Z221" s="34"/>
      <c r="AA221" s="34"/>
      <c r="AB221" s="34"/>
      <c r="AC221" s="34"/>
    </row>
    <row r="222" spans="2:29" s="7" customFormat="1" x14ac:dyDescent="0.25">
      <c r="B222" s="78" t="s">
        <v>32</v>
      </c>
      <c r="C222" s="25">
        <f>(F222+I222+L222+O222)</f>
        <v>6</v>
      </c>
      <c r="D222" s="111" t="s">
        <v>34</v>
      </c>
      <c r="E222" s="111"/>
      <c r="F222" s="81">
        <v>3</v>
      </c>
      <c r="G222" s="164" t="s">
        <v>70</v>
      </c>
      <c r="H222" s="164"/>
      <c r="I222" s="25">
        <f>IF(G217&gt;G234,G234,G217)</f>
        <v>3</v>
      </c>
      <c r="J222" s="111" t="s">
        <v>936</v>
      </c>
      <c r="K222" s="111"/>
      <c r="L222" s="214"/>
      <c r="M222" s="111" t="s">
        <v>937</v>
      </c>
      <c r="N222" s="111"/>
      <c r="O222" s="214"/>
      <c r="U222" s="34"/>
      <c r="V222" s="34"/>
      <c r="W222" s="34"/>
      <c r="X222" s="34"/>
      <c r="Y222" s="34"/>
      <c r="Z222" s="34"/>
      <c r="AA222" s="34"/>
      <c r="AB222" s="34"/>
      <c r="AC222" s="34"/>
    </row>
    <row r="223" spans="2:29" s="7" customFormat="1" x14ac:dyDescent="0.25">
      <c r="B223" s="78" t="s">
        <v>33</v>
      </c>
      <c r="C223" s="25">
        <f>(F223+I223+L223+O223)</f>
        <v>6</v>
      </c>
      <c r="D223" s="111" t="s">
        <v>34</v>
      </c>
      <c r="E223" s="111"/>
      <c r="F223" s="81">
        <v>1</v>
      </c>
      <c r="G223" s="164" t="s">
        <v>935</v>
      </c>
      <c r="H223" s="164"/>
      <c r="I223" s="25">
        <f>G218</f>
        <v>5</v>
      </c>
      <c r="J223" s="111" t="s">
        <v>936</v>
      </c>
      <c r="K223" s="111"/>
      <c r="L223" s="214"/>
      <c r="M223" s="111" t="s">
        <v>937</v>
      </c>
      <c r="N223" s="111"/>
      <c r="O223" s="214"/>
      <c r="U223" s="34"/>
      <c r="V223" s="34"/>
      <c r="W223" s="34"/>
      <c r="X223" s="34"/>
      <c r="Y223" s="34"/>
      <c r="Z223" s="34"/>
      <c r="AA223" s="34"/>
      <c r="AB223" s="34"/>
      <c r="AC223" s="34"/>
    </row>
    <row r="224" spans="2:29" s="1" customFormat="1" x14ac:dyDescent="0.25">
      <c r="U224" s="34"/>
      <c r="V224" s="34"/>
      <c r="W224" s="34"/>
      <c r="X224" s="34"/>
      <c r="Y224" s="34"/>
      <c r="Z224" s="34"/>
      <c r="AA224" s="34"/>
      <c r="AB224" s="34"/>
      <c r="AC224" s="34"/>
    </row>
    <row r="225" spans="1:29" s="1" customFormat="1" x14ac:dyDescent="0.25">
      <c r="B225" s="7" t="s">
        <v>916</v>
      </c>
      <c r="C225" s="7"/>
      <c r="D225" s="7"/>
      <c r="E225" s="7"/>
      <c r="F225" s="7"/>
      <c r="G225" s="7"/>
      <c r="H225" s="7"/>
      <c r="I225" s="7"/>
      <c r="J225" s="7"/>
      <c r="K225" s="7"/>
      <c r="L225" s="7"/>
      <c r="M225" s="7"/>
      <c r="N225" s="7"/>
      <c r="O225" s="7"/>
      <c r="P225" s="7"/>
      <c r="Q225" s="7"/>
      <c r="R225" s="7"/>
      <c r="S225" s="7"/>
      <c r="T225" s="7"/>
      <c r="U225" s="34"/>
      <c r="V225" s="34"/>
      <c r="W225" s="34"/>
      <c r="X225" s="34"/>
      <c r="Y225" s="34"/>
      <c r="Z225" s="34"/>
      <c r="AA225" s="34"/>
      <c r="AB225" s="34"/>
      <c r="AC225" s="34"/>
    </row>
    <row r="226" spans="1:29" s="1" customFormat="1" x14ac:dyDescent="0.25">
      <c r="A226" s="7"/>
      <c r="B226" s="85" t="s">
        <v>74</v>
      </c>
      <c r="C226" s="85"/>
      <c r="D226" s="27">
        <f>(G217+J226)</f>
        <v>3</v>
      </c>
      <c r="E226" s="85" t="s">
        <v>70</v>
      </c>
      <c r="F226" s="85"/>
      <c r="G226" s="27">
        <f>IF(G217&gt;G234,G234,G217)</f>
        <v>3</v>
      </c>
      <c r="H226" s="85" t="s">
        <v>39</v>
      </c>
      <c r="I226" s="85"/>
      <c r="J226" s="203"/>
      <c r="K226" s="7"/>
      <c r="L226" s="7"/>
      <c r="M226" s="7"/>
      <c r="N226" s="7"/>
      <c r="O226" s="7"/>
      <c r="P226" s="7"/>
      <c r="Q226" s="7"/>
      <c r="R226" s="7"/>
      <c r="S226" s="7"/>
      <c r="T226" s="7"/>
      <c r="U226" s="34"/>
      <c r="V226" s="34"/>
      <c r="W226" s="34"/>
      <c r="X226" s="34"/>
      <c r="Y226" s="34"/>
      <c r="Z226" s="34"/>
      <c r="AA226" s="34"/>
      <c r="AB226" s="34"/>
      <c r="AC226" s="34"/>
    </row>
    <row r="227" spans="1:29" s="1" customFormat="1" x14ac:dyDescent="0.25">
      <c r="A227" s="7"/>
      <c r="B227" s="7"/>
      <c r="C227" s="7"/>
      <c r="D227" s="34"/>
      <c r="E227" s="7"/>
      <c r="F227" s="7"/>
      <c r="G227" s="34"/>
      <c r="H227" s="7"/>
      <c r="I227" s="7"/>
      <c r="J227" s="7"/>
      <c r="K227" s="7"/>
      <c r="L227" s="7"/>
      <c r="M227" s="7"/>
      <c r="N227" s="7"/>
      <c r="O227" s="7"/>
      <c r="P227" s="7"/>
      <c r="Q227" s="7"/>
      <c r="R227" s="7"/>
      <c r="S227" s="7"/>
      <c r="T227" s="7"/>
      <c r="U227" s="34"/>
      <c r="V227" s="34"/>
      <c r="W227" s="34"/>
      <c r="X227" s="34"/>
      <c r="Y227" s="34"/>
      <c r="Z227" s="34"/>
      <c r="AA227" s="34"/>
      <c r="AB227" s="34"/>
      <c r="AC227" s="34"/>
    </row>
    <row r="228" spans="1:29" s="1" customFormat="1" x14ac:dyDescent="0.25">
      <c r="A228" s="7"/>
      <c r="B228" s="131" t="s">
        <v>75</v>
      </c>
      <c r="C228" s="133"/>
      <c r="D228" s="29">
        <f>(G228+J228+M228+P228)</f>
        <v>8</v>
      </c>
      <c r="E228" s="131" t="s">
        <v>71</v>
      </c>
      <c r="F228" s="133"/>
      <c r="G228" s="27">
        <v>3</v>
      </c>
      <c r="H228" s="131" t="s">
        <v>72</v>
      </c>
      <c r="I228" s="133"/>
      <c r="J228" s="29">
        <f>G216</f>
        <v>7</v>
      </c>
      <c r="K228" s="131" t="s">
        <v>73</v>
      </c>
      <c r="L228" s="133"/>
      <c r="M228" s="29">
        <f>VLOOKUP(D211,SizeTable,2,FALSE)</f>
        <v>-2</v>
      </c>
      <c r="N228" s="131" t="s">
        <v>39</v>
      </c>
      <c r="O228" s="133"/>
      <c r="P228" s="27"/>
      <c r="Q228" s="7"/>
      <c r="R228" s="7"/>
      <c r="S228" s="7"/>
      <c r="T228" s="7"/>
      <c r="U228" s="34"/>
      <c r="V228" s="34"/>
      <c r="W228" s="34"/>
      <c r="X228" s="34"/>
      <c r="Y228" s="34"/>
      <c r="Z228" s="34"/>
      <c r="AA228" s="34"/>
      <c r="AB228" s="34"/>
      <c r="AC228" s="34"/>
    </row>
    <row r="229" spans="1:29" s="1" customFormat="1" x14ac:dyDescent="0.25">
      <c r="A229" s="7"/>
      <c r="B229" s="131" t="s">
        <v>76</v>
      </c>
      <c r="C229" s="133"/>
      <c r="D229" s="29">
        <f>(G229+J229+M229+P229)</f>
        <v>2</v>
      </c>
      <c r="E229" s="131" t="s">
        <v>71</v>
      </c>
      <c r="F229" s="133"/>
      <c r="G229" s="29">
        <f>G228</f>
        <v>3</v>
      </c>
      <c r="H229" s="131" t="s">
        <v>36</v>
      </c>
      <c r="I229" s="133"/>
      <c r="J229" s="29">
        <f>IF(G217&gt;G234,G234,G217)</f>
        <v>3</v>
      </c>
      <c r="K229" s="131" t="s">
        <v>73</v>
      </c>
      <c r="L229" s="133"/>
      <c r="M229" s="29">
        <f>VLOOKUP(D211,SizeTable,2,FALSE)</f>
        <v>-2</v>
      </c>
      <c r="N229" s="131" t="s">
        <v>39</v>
      </c>
      <c r="O229" s="133"/>
      <c r="P229" s="27">
        <v>-2</v>
      </c>
      <c r="Q229" s="7"/>
      <c r="R229" s="7"/>
      <c r="S229" s="7"/>
      <c r="T229" s="7"/>
      <c r="U229" s="34"/>
      <c r="V229" s="34"/>
      <c r="W229" s="34"/>
      <c r="X229" s="34"/>
      <c r="Y229" s="34"/>
      <c r="Z229" s="34"/>
      <c r="AA229" s="34"/>
      <c r="AB229" s="34"/>
      <c r="AC229" s="34"/>
    </row>
    <row r="230" spans="1:29" s="1" customFormat="1" x14ac:dyDescent="0.25">
      <c r="A230" s="7"/>
      <c r="B230" s="131" t="s">
        <v>77</v>
      </c>
      <c r="C230" s="133"/>
      <c r="D230" s="29">
        <f>(G230+J230+M230+P230)</f>
        <v>18</v>
      </c>
      <c r="E230" s="131" t="s">
        <v>71</v>
      </c>
      <c r="F230" s="133"/>
      <c r="G230" s="29">
        <f>G229</f>
        <v>3</v>
      </c>
      <c r="H230" s="131" t="s">
        <v>72</v>
      </c>
      <c r="I230" s="133"/>
      <c r="J230" s="29">
        <f>G216</f>
        <v>7</v>
      </c>
      <c r="K230" s="131" t="s">
        <v>73</v>
      </c>
      <c r="L230" s="133"/>
      <c r="M230" s="29">
        <f>LOOKUP(VLOOKUP(D211,SizeTable,2,FALSE), {-8,-4,-2,-1,0,1,2,4,8},{16,12,8,4,0,-4,-8,-12,-16})</f>
        <v>8</v>
      </c>
      <c r="N230" s="131" t="s">
        <v>39</v>
      </c>
      <c r="O230" s="133"/>
      <c r="P230" s="27"/>
      <c r="Q230" s="7"/>
      <c r="R230" s="7"/>
      <c r="S230" s="7"/>
      <c r="T230" s="7"/>
      <c r="U230" s="34"/>
      <c r="V230" s="34"/>
      <c r="W230" s="34"/>
      <c r="X230" s="34"/>
      <c r="Y230" s="34"/>
      <c r="Z230" s="34"/>
      <c r="AA230" s="34"/>
      <c r="AB230" s="34"/>
      <c r="AC230" s="34"/>
    </row>
    <row r="231" spans="1:29" s="1" customFormat="1" x14ac:dyDescent="0.25">
      <c r="A231" s="7"/>
      <c r="B231" s="7"/>
      <c r="C231" s="7"/>
      <c r="D231" s="34"/>
      <c r="E231" s="7"/>
      <c r="F231" s="7"/>
      <c r="G231" s="34"/>
      <c r="H231" s="7"/>
      <c r="I231" s="7"/>
      <c r="J231" s="34"/>
      <c r="K231" s="7"/>
      <c r="L231" s="7"/>
      <c r="M231" s="34"/>
      <c r="N231" s="7"/>
      <c r="O231" s="7"/>
      <c r="P231" s="34"/>
      <c r="Q231" s="7"/>
      <c r="R231" s="7"/>
      <c r="S231" s="7"/>
      <c r="T231" s="7"/>
      <c r="U231" s="34"/>
      <c r="V231" s="34"/>
      <c r="W231" s="34"/>
      <c r="X231" s="34"/>
      <c r="Y231" s="34"/>
      <c r="Z231" s="34"/>
      <c r="AA231" s="34"/>
      <c r="AB231" s="34"/>
      <c r="AC231" s="34"/>
    </row>
    <row r="232" spans="1:29" s="1" customFormat="1" x14ac:dyDescent="0.25">
      <c r="A232" s="7"/>
      <c r="B232" s="85" t="s">
        <v>10</v>
      </c>
      <c r="C232" s="85"/>
      <c r="D232" s="29">
        <f>(10+G232+J232+M232+P232+J233+M233+P233+M234)</f>
        <v>16</v>
      </c>
      <c r="E232" s="85" t="s">
        <v>78</v>
      </c>
      <c r="F232" s="85"/>
      <c r="G232" s="29">
        <v>0</v>
      </c>
      <c r="H232" s="85" t="s">
        <v>36</v>
      </c>
      <c r="I232" s="85"/>
      <c r="J232" s="29">
        <f>IF(G217&gt;G234,G234,G217)</f>
        <v>3</v>
      </c>
      <c r="K232" s="85" t="s">
        <v>73</v>
      </c>
      <c r="L232" s="85"/>
      <c r="M232" s="29">
        <f>VLOOKUP(D211,SizeTable,2,FALSE)</f>
        <v>-2</v>
      </c>
      <c r="N232" s="85" t="s">
        <v>79</v>
      </c>
      <c r="O232" s="85"/>
      <c r="P232" s="27">
        <v>0</v>
      </c>
      <c r="Q232" s="7"/>
      <c r="R232" s="7"/>
      <c r="S232" s="7"/>
      <c r="T232" s="7"/>
      <c r="U232" s="34"/>
      <c r="V232" s="34"/>
      <c r="W232" s="34"/>
      <c r="X232" s="34"/>
      <c r="Y232" s="34"/>
      <c r="Z232" s="34"/>
      <c r="AA232" s="34"/>
      <c r="AB232" s="34"/>
      <c r="AC232" s="34"/>
    </row>
    <row r="233" spans="1:29" s="1" customFormat="1" x14ac:dyDescent="0.25">
      <c r="A233" s="7"/>
      <c r="B233" s="131" t="s">
        <v>82</v>
      </c>
      <c r="C233" s="133"/>
      <c r="D233" s="29">
        <f>(10+J232+M232+J233+P233+M234)</f>
        <v>11</v>
      </c>
      <c r="E233" s="94" t="s">
        <v>177</v>
      </c>
      <c r="F233" s="96"/>
      <c r="G233" s="29">
        <f>(10+G232+M232+P232+J233+M233+P233)</f>
        <v>13</v>
      </c>
      <c r="H233" s="149" t="s">
        <v>81</v>
      </c>
      <c r="I233" s="150"/>
      <c r="J233" s="27">
        <v>0</v>
      </c>
      <c r="K233" s="85" t="s">
        <v>80</v>
      </c>
      <c r="L233" s="85"/>
      <c r="M233" s="27">
        <v>5</v>
      </c>
      <c r="N233" s="85" t="s">
        <v>39</v>
      </c>
      <c r="O233" s="85"/>
      <c r="P233" s="27">
        <v>0</v>
      </c>
      <c r="Q233" s="7"/>
      <c r="R233" s="7"/>
      <c r="S233" s="7"/>
      <c r="T233" s="7"/>
      <c r="U233" s="34"/>
      <c r="V233" s="34"/>
      <c r="W233" s="34"/>
      <c r="X233" s="34"/>
      <c r="Y233" s="34"/>
      <c r="Z233" s="34"/>
      <c r="AA233" s="34"/>
      <c r="AB233" s="34"/>
      <c r="AC233" s="34"/>
    </row>
    <row r="234" spans="1:29" s="1" customFormat="1" x14ac:dyDescent="0.25">
      <c r="A234" s="7"/>
      <c r="B234" s="189" t="s">
        <v>14</v>
      </c>
      <c r="C234" s="189"/>
      <c r="D234" s="79">
        <f>IF((SUM(N124:N127)+SUM(N131:N133))&gt;R216,R216,(SUM(N124:N127)+SUM(N131:N133)))</f>
        <v>0</v>
      </c>
      <c r="E234" s="131" t="s">
        <v>15</v>
      </c>
      <c r="F234" s="133"/>
      <c r="G234" s="29" t="s">
        <v>1</v>
      </c>
      <c r="H234" s="149" t="s">
        <v>16</v>
      </c>
      <c r="I234" s="150"/>
      <c r="J234" s="30">
        <v>0</v>
      </c>
      <c r="K234" s="131" t="s">
        <v>84</v>
      </c>
      <c r="L234" s="133"/>
      <c r="M234" s="27">
        <v>0</v>
      </c>
      <c r="N234" s="7"/>
      <c r="O234" s="7"/>
      <c r="P234" s="7"/>
      <c r="Q234" s="7"/>
      <c r="R234" s="7"/>
      <c r="S234" s="7"/>
      <c r="T234" s="7"/>
      <c r="U234" s="34"/>
      <c r="V234" s="34"/>
      <c r="W234" s="34"/>
      <c r="X234" s="34"/>
      <c r="Y234" s="34"/>
      <c r="Z234" s="34"/>
      <c r="AA234" s="34"/>
      <c r="AB234" s="34"/>
      <c r="AC234" s="34"/>
    </row>
    <row r="235" spans="1:29" s="1" customFormat="1" x14ac:dyDescent="0.25">
      <c r="A235" s="7"/>
      <c r="B235" s="105" t="s">
        <v>243</v>
      </c>
      <c r="C235" s="107"/>
      <c r="D235" s="207"/>
      <c r="E235" s="208"/>
      <c r="F235" s="208"/>
      <c r="G235" s="208"/>
      <c r="H235" s="208"/>
      <c r="I235" s="208"/>
      <c r="J235" s="208"/>
      <c r="K235" s="208"/>
      <c r="L235" s="208"/>
      <c r="M235" s="208"/>
      <c r="N235" s="208"/>
      <c r="O235" s="208"/>
      <c r="P235" s="209"/>
      <c r="Q235" s="7"/>
      <c r="R235" s="7"/>
      <c r="S235" s="7"/>
      <c r="T235" s="7"/>
      <c r="U235" s="34"/>
      <c r="V235" s="34"/>
      <c r="W235" s="34"/>
      <c r="X235" s="34"/>
      <c r="Y235" s="34"/>
      <c r="Z235" s="34"/>
      <c r="AA235" s="34"/>
      <c r="AB235" s="34"/>
      <c r="AC235" s="34"/>
    </row>
    <row r="236" spans="1:29" s="1" customFormat="1" x14ac:dyDescent="0.25">
      <c r="A236" s="7"/>
      <c r="B236" s="7"/>
      <c r="C236" s="7"/>
      <c r="D236" s="7"/>
      <c r="E236" s="7"/>
      <c r="F236" s="7"/>
      <c r="G236" s="7"/>
      <c r="H236" s="7"/>
      <c r="I236" s="7"/>
      <c r="J236" s="7"/>
      <c r="K236" s="7"/>
      <c r="L236" s="7"/>
      <c r="M236" s="7"/>
      <c r="N236" s="7"/>
      <c r="O236" s="7"/>
      <c r="P236" s="7"/>
      <c r="Q236" s="7"/>
      <c r="R236" s="7"/>
      <c r="S236" s="7"/>
      <c r="T236" s="7"/>
      <c r="U236" s="34"/>
      <c r="V236" s="34"/>
      <c r="W236" s="34"/>
      <c r="X236" s="34"/>
      <c r="Y236" s="34"/>
      <c r="Z236" s="34"/>
      <c r="AA236" s="34"/>
      <c r="AB236" s="34"/>
      <c r="AC236" s="34"/>
    </row>
    <row r="237" spans="1:29" s="1" customFormat="1" x14ac:dyDescent="0.25">
      <c r="A237" s="7"/>
      <c r="B237" s="85" t="s">
        <v>85</v>
      </c>
      <c r="C237" s="85"/>
      <c r="D237" s="97" t="s">
        <v>917</v>
      </c>
      <c r="E237" s="148"/>
      <c r="F237" s="98"/>
      <c r="G237" s="85" t="s">
        <v>86</v>
      </c>
      <c r="H237" s="85"/>
      <c r="I237" s="27">
        <f>D228</f>
        <v>8</v>
      </c>
      <c r="J237" s="82" t="s">
        <v>87</v>
      </c>
      <c r="K237" s="27" t="str">
        <f>"2d6+"&amp;G216</f>
        <v>2d6+7</v>
      </c>
      <c r="L237" s="82" t="s">
        <v>88</v>
      </c>
      <c r="M237" s="27" t="s">
        <v>918</v>
      </c>
      <c r="N237" s="7"/>
      <c r="O237" s="7"/>
      <c r="P237" s="7"/>
      <c r="Q237" s="7"/>
      <c r="R237" s="7"/>
      <c r="S237" s="7"/>
      <c r="T237" s="7"/>
      <c r="U237" s="34"/>
      <c r="V237" s="34"/>
      <c r="W237" s="34"/>
      <c r="X237" s="34"/>
      <c r="Y237" s="34"/>
      <c r="Z237" s="34"/>
      <c r="AA237" s="34"/>
      <c r="AB237" s="34"/>
      <c r="AC237" s="34"/>
    </row>
    <row r="238" spans="1:29" s="1" customFormat="1" x14ac:dyDescent="0.25">
      <c r="A238" s="7"/>
      <c r="B238" s="85" t="s">
        <v>90</v>
      </c>
      <c r="C238" s="85"/>
      <c r="D238" s="97" t="s">
        <v>919</v>
      </c>
      <c r="E238" s="148"/>
      <c r="F238" s="98"/>
      <c r="G238" s="85" t="s">
        <v>86</v>
      </c>
      <c r="H238" s="85"/>
      <c r="I238" s="27">
        <f>D229</f>
        <v>2</v>
      </c>
      <c r="J238" s="82" t="s">
        <v>87</v>
      </c>
      <c r="K238" s="27" t="s">
        <v>1</v>
      </c>
      <c r="L238" s="82" t="s">
        <v>88</v>
      </c>
      <c r="M238" s="27" t="s">
        <v>1</v>
      </c>
      <c r="N238" s="85" t="s">
        <v>89</v>
      </c>
      <c r="O238" s="85"/>
      <c r="P238" s="27" t="s">
        <v>920</v>
      </c>
      <c r="Q238" s="7"/>
      <c r="R238" s="7"/>
      <c r="S238" s="7"/>
      <c r="T238" s="7"/>
      <c r="U238" s="34"/>
      <c r="V238" s="34"/>
      <c r="W238" s="34"/>
      <c r="X238" s="34"/>
      <c r="Y238" s="34"/>
      <c r="Z238" s="34"/>
      <c r="AA238" s="34"/>
      <c r="AB238" s="34"/>
      <c r="AC238" s="34"/>
    </row>
    <row r="239" spans="1:29" s="1" customFormat="1" x14ac:dyDescent="0.25">
      <c r="B239" s="7"/>
      <c r="C239" s="7"/>
      <c r="D239" s="7"/>
      <c r="E239" s="7"/>
      <c r="F239" s="7"/>
      <c r="G239" s="7"/>
      <c r="H239" s="7"/>
      <c r="I239" s="7"/>
      <c r="J239" s="7"/>
      <c r="K239" s="7"/>
      <c r="L239" s="7"/>
      <c r="M239" s="7"/>
      <c r="N239" s="7"/>
      <c r="O239" s="7"/>
      <c r="P239" s="7"/>
      <c r="Q239" s="7"/>
      <c r="R239" s="7"/>
      <c r="S239" s="7"/>
      <c r="T239" s="7"/>
      <c r="U239" s="34"/>
      <c r="V239" s="34"/>
      <c r="W239" s="34"/>
      <c r="X239" s="34"/>
      <c r="Y239" s="34"/>
      <c r="Z239" s="34"/>
      <c r="AA239" s="34"/>
      <c r="AB239" s="34"/>
      <c r="AC239" s="34"/>
    </row>
    <row r="240" spans="1:29" s="1" customFormat="1" x14ac:dyDescent="0.25">
      <c r="B240" s="7" t="s">
        <v>938</v>
      </c>
      <c r="C240" s="7"/>
      <c r="D240" s="7"/>
      <c r="E240" s="7"/>
      <c r="F240" s="7"/>
      <c r="G240" s="7"/>
      <c r="H240" s="7"/>
      <c r="I240" s="7"/>
      <c r="J240" s="7"/>
      <c r="K240" s="7"/>
      <c r="L240" s="7"/>
      <c r="M240" s="7"/>
      <c r="N240" s="7"/>
      <c r="O240" s="7"/>
      <c r="P240" s="7"/>
      <c r="Q240" s="7"/>
      <c r="R240" s="7"/>
      <c r="S240" s="7"/>
      <c r="T240" s="7"/>
      <c r="U240" s="34"/>
      <c r="V240" s="34"/>
      <c r="W240" s="34"/>
      <c r="X240" s="34"/>
      <c r="Y240" s="34"/>
      <c r="Z240" s="34"/>
      <c r="AA240" s="34"/>
      <c r="AB240" s="34"/>
      <c r="AC240" s="34"/>
    </row>
    <row r="241" spans="2:29" s="7" customFormat="1" x14ac:dyDescent="0.25">
      <c r="B241" s="111" t="s">
        <v>62</v>
      </c>
      <c r="C241" s="111"/>
      <c r="D241" s="111"/>
      <c r="E241" s="111" t="s">
        <v>63</v>
      </c>
      <c r="F241" s="111"/>
      <c r="G241" s="111"/>
      <c r="H241" s="111" t="s">
        <v>64</v>
      </c>
      <c r="I241" s="111"/>
      <c r="J241" s="111"/>
      <c r="K241" s="111" t="s">
        <v>65</v>
      </c>
      <c r="L241" s="111"/>
      <c r="M241" s="111" t="s">
        <v>60</v>
      </c>
      <c r="N241" s="111"/>
      <c r="O241" s="111"/>
      <c r="P241" s="111" t="s">
        <v>61</v>
      </c>
      <c r="Q241" s="111"/>
      <c r="U241" s="34"/>
      <c r="V241" s="34"/>
      <c r="W241" s="34"/>
      <c r="X241" s="34"/>
      <c r="Y241" s="34"/>
      <c r="Z241" s="34"/>
      <c r="AA241" s="34"/>
      <c r="AB241" s="34"/>
      <c r="AC241" s="34"/>
    </row>
    <row r="242" spans="2:29" s="1" customFormat="1" x14ac:dyDescent="0.25">
      <c r="B242" s="154">
        <f>LOOKUP(F216, {1,2,3,4,5,6,7,8,9,10,11,12,13,14,15,16,17,18,19,20,21,22,23,24,25,26,27,28,29,30,31,32,33,34,35,36,37,38,39,40}, {3,6,10,13,16,20,23,26,30,33,38,43,50,58,66,76,86,100,116,133,153,173,200,233,266,306,346,400,466,532,612,692,800,932,1064,1224,1384,1600,1864,2128})</f>
        <v>266</v>
      </c>
      <c r="C242" s="154"/>
      <c r="D242" s="154"/>
      <c r="E242" s="154">
        <f>LOOKUP(F216, {1,2,3,4,5,6,7,8,9,10,11,12,13,14,15,16,17,18,19,20,21,22,23,24,25,26,27,28,29,30,31,32,33,34,35,36,37,38,39,40}, {6,13,20,26,33,40,46,53,60,66,76,86,100,116,133,153,173,200,233,266,306,346,400,466,533,613,693,800,933,1064,1224,1384,1600,1864,2132,2452,2772,3200,3732,4256})</f>
        <v>533</v>
      </c>
      <c r="F242" s="154"/>
      <c r="G242" s="154"/>
      <c r="H242" s="154">
        <f>LOOKUP(F216, {1,2,3,4,5,6,7,8,9,10,11,12,13,14,15,16,17,18,19,20,21,22,23,24,25,26,27,28,29,30,31,32,33,34,35,36,37,38,39,40}, {10,20,30,40,50,60,70,80,90,100,115,130,150,175,200,230,260,300,350,400,460,520,600,700,800,920,1040,1200,1400,1600,1840,2080,2400,2800,3200,3680,4160,4800,5600,6400})</f>
        <v>800</v>
      </c>
      <c r="I242" s="154"/>
      <c r="J242" s="154"/>
      <c r="K242" s="154">
        <v>0</v>
      </c>
      <c r="L242" s="154"/>
      <c r="M242" s="188">
        <v>30</v>
      </c>
      <c r="N242" s="188"/>
      <c r="O242" s="188"/>
      <c r="P242" s="154">
        <f>IF(M242&gt;=30,M242-(IF(B242&gt;=K242,0,10)),M242-(IF(B242&gt;=K242,0,5)))</f>
        <v>30</v>
      </c>
      <c r="Q242" s="154"/>
      <c r="R242" s="17">
        <f>IF(AND(K242&gt;B242,K242&lt;=E242),-3,IF(AND(K242&gt;E242,K242&lt;=H242),-6,0))</f>
        <v>0</v>
      </c>
      <c r="U242" s="34"/>
      <c r="V242" s="34"/>
      <c r="W242" s="34"/>
      <c r="X242" s="34"/>
      <c r="Y242" s="34"/>
      <c r="Z242" s="34"/>
      <c r="AA242" s="34"/>
      <c r="AB242" s="34"/>
      <c r="AC242" s="34"/>
    </row>
    <row r="243" spans="2:29" s="1" customFormat="1" x14ac:dyDescent="0.25">
      <c r="B243" s="7"/>
      <c r="C243" s="7"/>
      <c r="D243" s="7"/>
      <c r="E243" s="7"/>
      <c r="F243" s="7"/>
      <c r="G243" s="7"/>
      <c r="H243" s="7"/>
      <c r="I243" s="7"/>
      <c r="J243" s="7"/>
      <c r="K243" s="7"/>
      <c r="L243" s="7"/>
      <c r="M243" s="7"/>
      <c r="N243" s="7"/>
      <c r="O243" s="7"/>
      <c r="P243" s="7"/>
      <c r="Q243" s="7"/>
      <c r="R243" s="7"/>
      <c r="S243" s="7"/>
      <c r="T243" s="7"/>
      <c r="U243" s="34"/>
      <c r="V243" s="34"/>
      <c r="W243" s="34"/>
      <c r="X243" s="34"/>
      <c r="Y243" s="34"/>
      <c r="Z243" s="34"/>
      <c r="AA243" s="34"/>
      <c r="AB243" s="34"/>
      <c r="AC243" s="34"/>
    </row>
    <row r="244" spans="2:29" s="1" customFormat="1" x14ac:dyDescent="0.25">
      <c r="B244" s="7" t="s">
        <v>922</v>
      </c>
      <c r="C244" s="7"/>
      <c r="D244" s="7"/>
      <c r="E244" s="7"/>
      <c r="F244" s="7"/>
      <c r="G244" s="7"/>
      <c r="H244" s="7"/>
      <c r="I244" s="7"/>
      <c r="J244" s="7"/>
      <c r="K244" s="7"/>
      <c r="L244" s="7"/>
      <c r="M244" s="7"/>
      <c r="N244" s="7"/>
      <c r="O244" s="7"/>
      <c r="P244" s="7"/>
      <c r="Q244" s="7"/>
      <c r="R244" s="7"/>
      <c r="S244" s="7"/>
      <c r="T244" s="7"/>
      <c r="U244" s="34"/>
      <c r="V244" s="34"/>
      <c r="W244" s="34"/>
      <c r="X244" s="34"/>
      <c r="Y244" s="34"/>
      <c r="Z244" s="34"/>
      <c r="AA244" s="34"/>
      <c r="AB244" s="34"/>
      <c r="AC244" s="34"/>
    </row>
    <row r="245" spans="2:29" s="7" customFormat="1" x14ac:dyDescent="0.25">
      <c r="B245" s="111" t="s">
        <v>62</v>
      </c>
      <c r="C245" s="111"/>
      <c r="D245" s="111"/>
      <c r="E245" s="111" t="s">
        <v>63</v>
      </c>
      <c r="F245" s="111"/>
      <c r="G245" s="111"/>
      <c r="H245" s="111" t="s">
        <v>64</v>
      </c>
      <c r="I245" s="111"/>
      <c r="J245" s="111"/>
      <c r="K245" s="111" t="s">
        <v>65</v>
      </c>
      <c r="L245" s="111"/>
      <c r="M245" s="111" t="s">
        <v>60</v>
      </c>
      <c r="N245" s="111"/>
      <c r="O245" s="111"/>
      <c r="P245" s="111" t="s">
        <v>61</v>
      </c>
      <c r="Q245" s="111"/>
      <c r="U245" s="34"/>
      <c r="V245" s="34"/>
      <c r="W245" s="34"/>
      <c r="X245" s="34"/>
      <c r="Y245" s="34"/>
      <c r="Z245" s="34"/>
      <c r="AA245" s="34"/>
      <c r="AB245" s="34"/>
      <c r="AC245" s="34"/>
    </row>
    <row r="246" spans="2:29" s="1" customFormat="1" x14ac:dyDescent="0.25">
      <c r="B246" s="154">
        <f>LOOKUP(F216, {1,2,3,4,5,6,7,8,9,10,11,12,13,14,15,16,17,18,19,20,21,22,23,24,25,26,27,28,29,30,31,32,33,34,35,36,37,38,39,40}, {3,6,10,13,16,20,23,26,30,33,38,43,50,58,66,76,86,100,116,133,153,173,200,233,266,306,346,400,466,532,612,692,800,932,1064,1224,1384,1600,1864,2128})</f>
        <v>266</v>
      </c>
      <c r="C246" s="154"/>
      <c r="D246" s="154"/>
      <c r="E246" s="154">
        <f>LOOKUP(F216, {1,2,3,4,5,6,7,8,9,10,11,12,13,14,15,16,17,18,19,20,21,22,23,24,25,26,27,28,29,30,31,32,33,34,35,36,37,38,39,40}, {6,13,20,26,33,40,46,53,60,66,76,86,100,116,133,153,173,200,233,266,306,346,400,466,533,613,693,800,933,1064,1224,1384,1600,1864,2132,2452,2772,3200,3732,4256})</f>
        <v>533</v>
      </c>
      <c r="F246" s="154"/>
      <c r="G246" s="154"/>
      <c r="H246" s="154">
        <f>LOOKUP(F216, {1,2,3,4,5,6,7,8,9,10,11,12,13,14,15,16,17,18,19,20,21,22,23,24,25,26,27,28,29,30,31,32,33,34,35,36,37,38,39,40}, {10,20,30,40,50,60,70,80,90,100,115,130,150,175,200,230,260,300,350,400,460,520,600,700,800,920,1040,1200,1400,1600,1840,2080,2400,2800,3200,3680,4160,4800,5600,6400})</f>
        <v>800</v>
      </c>
      <c r="I246" s="154"/>
      <c r="J246" s="154"/>
      <c r="K246" s="154">
        <v>0</v>
      </c>
      <c r="L246" s="154"/>
      <c r="M246" s="188">
        <v>20</v>
      </c>
      <c r="N246" s="188"/>
      <c r="O246" s="188"/>
      <c r="P246" s="154">
        <f>IF(M246&gt;=30,M246-(IF(B246&gt;=K246,0,10)),M246-(IF(B246&gt;=K246,0,5)))</f>
        <v>20</v>
      </c>
      <c r="Q246" s="154"/>
      <c r="R246" s="17">
        <f>IF(AND(K246&gt;B246,K246&lt;=E246),-3,IF(AND(K246&gt;E246,K246&lt;=H246),-6,0))</f>
        <v>0</v>
      </c>
      <c r="U246" s="34"/>
      <c r="V246" s="34"/>
      <c r="W246" s="34"/>
      <c r="X246" s="34"/>
      <c r="Y246" s="34"/>
      <c r="Z246" s="34"/>
      <c r="AA246" s="34"/>
      <c r="AB246" s="34"/>
      <c r="AC246" s="34"/>
    </row>
    <row r="247" spans="2:29" s="1" customFormat="1" x14ac:dyDescent="0.25">
      <c r="B247" s="7"/>
      <c r="C247" s="7"/>
      <c r="D247" s="7"/>
      <c r="E247" s="7"/>
      <c r="F247" s="7"/>
      <c r="G247" s="7"/>
      <c r="H247" s="7"/>
      <c r="I247" s="7"/>
      <c r="J247" s="7"/>
      <c r="K247" s="7"/>
      <c r="L247" s="7"/>
      <c r="M247" s="7"/>
      <c r="N247" s="7"/>
      <c r="O247" s="7"/>
      <c r="P247" s="7"/>
      <c r="Q247" s="7"/>
      <c r="R247" s="7"/>
      <c r="S247" s="7"/>
      <c r="T247" s="7"/>
      <c r="U247" s="34"/>
      <c r="V247" s="34"/>
      <c r="W247" s="34"/>
      <c r="X247" s="34"/>
      <c r="Y247" s="34"/>
      <c r="Z247" s="34"/>
      <c r="AA247" s="34"/>
      <c r="AB247" s="34"/>
      <c r="AC247" s="34"/>
    </row>
    <row r="248" spans="2:29" s="7" customFormat="1" x14ac:dyDescent="0.25">
      <c r="B248" s="7" t="s">
        <v>92</v>
      </c>
      <c r="U248" s="34"/>
      <c r="V248" s="34"/>
      <c r="W248" s="34"/>
      <c r="X248" s="34"/>
      <c r="Y248" s="34"/>
      <c r="Z248" s="34"/>
      <c r="AA248" s="34"/>
      <c r="AB248" s="34"/>
      <c r="AC248" s="34"/>
    </row>
    <row r="249" spans="2:29" s="7" customFormat="1" ht="15" customHeight="1" x14ac:dyDescent="0.25">
      <c r="B249" s="139" t="s">
        <v>22</v>
      </c>
      <c r="C249" s="140"/>
      <c r="D249" s="140"/>
      <c r="E249" s="141"/>
      <c r="F249" s="139" t="s">
        <v>93</v>
      </c>
      <c r="G249" s="140"/>
      <c r="H249" s="140"/>
      <c r="I249" s="140"/>
      <c r="J249" s="140"/>
      <c r="K249" s="140"/>
      <c r="L249" s="140"/>
      <c r="M249" s="140"/>
      <c r="N249" s="140"/>
      <c r="O249" s="140"/>
      <c r="P249" s="141"/>
      <c r="Q249" s="139" t="s">
        <v>42</v>
      </c>
      <c r="R249" s="140"/>
      <c r="S249" s="141"/>
      <c r="U249" s="34"/>
      <c r="V249" s="34"/>
      <c r="W249" s="34"/>
      <c r="X249" s="34"/>
      <c r="Y249" s="34"/>
      <c r="Z249" s="34"/>
      <c r="AA249" s="34"/>
      <c r="AB249" s="34"/>
      <c r="AC249" s="34"/>
    </row>
    <row r="250" spans="2:29" s="7" customFormat="1" x14ac:dyDescent="0.25">
      <c r="B250" s="90" t="s">
        <v>923</v>
      </c>
      <c r="C250" s="91"/>
      <c r="D250" s="91"/>
      <c r="E250" s="92"/>
      <c r="F250" s="99" t="s">
        <v>924</v>
      </c>
      <c r="G250" s="91"/>
      <c r="H250" s="91"/>
      <c r="I250" s="91"/>
      <c r="J250" s="91"/>
      <c r="K250" s="91"/>
      <c r="L250" s="91"/>
      <c r="M250" s="91"/>
      <c r="N250" s="91"/>
      <c r="O250" s="91"/>
      <c r="P250" s="92"/>
      <c r="Q250" s="90" t="s">
        <v>925</v>
      </c>
      <c r="R250" s="91"/>
      <c r="S250" s="92"/>
      <c r="U250" s="34"/>
      <c r="V250" s="34"/>
      <c r="W250" s="34"/>
      <c r="X250" s="34"/>
      <c r="Y250" s="34"/>
      <c r="Z250" s="34"/>
      <c r="AA250" s="34"/>
      <c r="AB250" s="34"/>
      <c r="AC250" s="34"/>
    </row>
    <row r="251" spans="2:29" s="1" customFormat="1" x14ac:dyDescent="0.25">
      <c r="B251" s="7"/>
      <c r="C251" s="7"/>
      <c r="D251" s="7"/>
      <c r="E251" s="7"/>
      <c r="F251" s="7"/>
      <c r="G251" s="7"/>
      <c r="H251" s="7"/>
      <c r="I251" s="7"/>
      <c r="J251" s="7"/>
      <c r="K251" s="7"/>
      <c r="L251" s="7"/>
      <c r="M251" s="7"/>
      <c r="N251" s="7"/>
      <c r="O251" s="7"/>
      <c r="P251" s="7"/>
      <c r="Q251" s="7"/>
      <c r="R251" s="7"/>
      <c r="S251" s="7"/>
      <c r="T251" s="7"/>
      <c r="U251" s="34"/>
      <c r="V251" s="34"/>
      <c r="W251" s="34"/>
      <c r="X251" s="34"/>
      <c r="Y251" s="34"/>
      <c r="Z251" s="34"/>
      <c r="AA251" s="34"/>
      <c r="AB251" s="34"/>
      <c r="AC251" s="34"/>
    </row>
    <row r="252" spans="2:29" s="7" customFormat="1" ht="15" customHeight="1" x14ac:dyDescent="0.25">
      <c r="B252" s="7" t="s">
        <v>926</v>
      </c>
      <c r="U252" s="34"/>
      <c r="V252" s="34"/>
      <c r="W252" s="34"/>
      <c r="X252" s="34"/>
      <c r="Y252" s="34"/>
      <c r="Z252" s="34"/>
      <c r="AA252" s="34"/>
      <c r="AB252" s="34"/>
      <c r="AC252" s="34"/>
    </row>
    <row r="253" spans="2:29" s="7" customFormat="1" ht="15" customHeight="1" x14ac:dyDescent="0.25">
      <c r="B253" s="139" t="s">
        <v>22</v>
      </c>
      <c r="C253" s="140"/>
      <c r="D253" s="140"/>
      <c r="E253" s="141"/>
      <c r="F253" s="139" t="s">
        <v>93</v>
      </c>
      <c r="G253" s="140"/>
      <c r="H253" s="140"/>
      <c r="I253" s="140"/>
      <c r="J253" s="140"/>
      <c r="K253" s="140"/>
      <c r="L253" s="140"/>
      <c r="M253" s="140"/>
      <c r="N253" s="140"/>
      <c r="O253" s="140"/>
      <c r="P253" s="141"/>
      <c r="Q253" s="139" t="s">
        <v>42</v>
      </c>
      <c r="R253" s="140"/>
      <c r="S253" s="141"/>
      <c r="U253" s="34"/>
      <c r="V253" s="34"/>
      <c r="W253" s="34"/>
      <c r="X253" s="34"/>
      <c r="Y253" s="34"/>
      <c r="Z253" s="34"/>
      <c r="AA253" s="34"/>
      <c r="AB253" s="34"/>
      <c r="AC253" s="34"/>
    </row>
    <row r="254" spans="2:29" s="7" customFormat="1" x14ac:dyDescent="0.25">
      <c r="B254" s="90" t="s">
        <v>927</v>
      </c>
      <c r="C254" s="91"/>
      <c r="D254" s="91"/>
      <c r="E254" s="92"/>
      <c r="F254" s="99" t="s">
        <v>948</v>
      </c>
      <c r="G254" s="91"/>
      <c r="H254" s="91"/>
      <c r="I254" s="91"/>
      <c r="J254" s="91"/>
      <c r="K254" s="91"/>
      <c r="L254" s="91"/>
      <c r="M254" s="91"/>
      <c r="N254" s="91"/>
      <c r="O254" s="91"/>
      <c r="P254" s="92"/>
      <c r="Q254" s="90" t="s">
        <v>913</v>
      </c>
      <c r="R254" s="91"/>
      <c r="S254" s="92"/>
      <c r="U254" s="34"/>
      <c r="V254" s="34"/>
      <c r="W254" s="34"/>
      <c r="X254" s="34"/>
      <c r="Y254" s="34"/>
      <c r="Z254" s="34"/>
      <c r="AA254" s="34"/>
      <c r="AB254" s="34"/>
      <c r="AC254" s="34"/>
    </row>
    <row r="255" spans="2:29" s="7" customFormat="1" x14ac:dyDescent="0.25">
      <c r="B255" s="90" t="s">
        <v>919</v>
      </c>
      <c r="C255" s="91"/>
      <c r="D255" s="91"/>
      <c r="E255" s="92"/>
      <c r="F255" s="99" t="s">
        <v>949</v>
      </c>
      <c r="G255" s="91"/>
      <c r="H255" s="91"/>
      <c r="I255" s="91"/>
      <c r="J255" s="91"/>
      <c r="K255" s="91"/>
      <c r="L255" s="91"/>
      <c r="M255" s="91"/>
      <c r="N255" s="91"/>
      <c r="O255" s="91"/>
      <c r="P255" s="92"/>
      <c r="Q255" s="90" t="s">
        <v>913</v>
      </c>
      <c r="R255" s="91"/>
      <c r="S255" s="92"/>
      <c r="U255" s="34"/>
      <c r="V255" s="34"/>
      <c r="W255" s="34"/>
      <c r="X255" s="34"/>
      <c r="Y255" s="34"/>
      <c r="Z255" s="34"/>
      <c r="AA255" s="34"/>
      <c r="AB255" s="34"/>
      <c r="AC255" s="34"/>
    </row>
    <row r="256" spans="2:29" s="1" customFormat="1" x14ac:dyDescent="0.25">
      <c r="B256" s="7"/>
      <c r="C256" s="7"/>
      <c r="D256" s="7"/>
      <c r="E256" s="7"/>
      <c r="F256" s="7"/>
      <c r="G256" s="7"/>
      <c r="H256" s="7"/>
      <c r="I256" s="7"/>
      <c r="J256" s="7"/>
      <c r="K256" s="7"/>
      <c r="L256" s="7"/>
      <c r="M256" s="7"/>
      <c r="N256" s="7"/>
      <c r="O256" s="7"/>
      <c r="P256" s="7"/>
      <c r="Q256" s="7"/>
      <c r="R256" s="7"/>
      <c r="S256" s="7"/>
      <c r="T256" s="7"/>
      <c r="U256" s="34"/>
      <c r="V256" s="34"/>
      <c r="W256" s="34"/>
      <c r="X256" s="34"/>
      <c r="Y256" s="34"/>
      <c r="Z256" s="34"/>
      <c r="AA256" s="34"/>
      <c r="AB256" s="34"/>
      <c r="AC256" s="34"/>
    </row>
    <row r="257" spans="2:29" s="5" customFormat="1" x14ac:dyDescent="0.25">
      <c r="B257" s="11"/>
      <c r="C257" s="11"/>
      <c r="D257" s="11"/>
      <c r="E257" s="11"/>
      <c r="F257" s="11"/>
      <c r="G257" s="11"/>
      <c r="H257" s="11"/>
      <c r="I257" s="11"/>
      <c r="J257" s="11"/>
      <c r="K257" s="11"/>
      <c r="L257" s="11"/>
      <c r="M257" s="11"/>
      <c r="N257" s="11"/>
      <c r="O257" s="11"/>
      <c r="P257" s="11"/>
      <c r="Q257" s="11"/>
      <c r="R257" s="11"/>
      <c r="S257" s="11"/>
      <c r="T257" s="11"/>
      <c r="U257" s="33"/>
      <c r="V257" s="33"/>
      <c r="W257" s="33"/>
      <c r="X257" s="33"/>
      <c r="Y257" s="33"/>
      <c r="Z257" s="33"/>
      <c r="AA257" s="33"/>
      <c r="AB257" s="33"/>
      <c r="AC257" s="33"/>
    </row>
    <row r="258" spans="2:29" s="1" customFormat="1" x14ac:dyDescent="0.25">
      <c r="B258" s="164" t="s">
        <v>5</v>
      </c>
      <c r="C258" s="164"/>
      <c r="D258" s="90" t="s">
        <v>950</v>
      </c>
      <c r="E258" s="91"/>
      <c r="F258" s="92"/>
      <c r="U258" s="34"/>
      <c r="V258" s="34"/>
      <c r="W258" s="34"/>
      <c r="X258" s="34"/>
      <c r="Y258" s="34"/>
      <c r="Z258" s="34"/>
      <c r="AA258" s="34"/>
      <c r="AB258" s="34"/>
      <c r="AC258" s="34"/>
    </row>
    <row r="259" spans="2:29" s="1" customFormat="1" x14ac:dyDescent="0.25">
      <c r="B259" s="164" t="s">
        <v>208</v>
      </c>
      <c r="C259" s="164"/>
      <c r="D259" s="90" t="s">
        <v>951</v>
      </c>
      <c r="E259" s="91"/>
      <c r="F259" s="92"/>
      <c r="U259" s="34"/>
      <c r="V259" s="34"/>
      <c r="W259" s="34"/>
      <c r="X259" s="34"/>
      <c r="Y259" s="34"/>
      <c r="Z259" s="34"/>
      <c r="AA259" s="34"/>
      <c r="AB259" s="34"/>
      <c r="AC259" s="34"/>
    </row>
    <row r="260" spans="2:29" s="1" customFormat="1" x14ac:dyDescent="0.25">
      <c r="B260" s="164" t="s">
        <v>17</v>
      </c>
      <c r="C260" s="164"/>
      <c r="D260" s="90" t="s">
        <v>83</v>
      </c>
      <c r="E260" s="91"/>
      <c r="F260" s="92"/>
      <c r="U260" s="34"/>
      <c r="V260" s="34"/>
      <c r="W260" s="34"/>
      <c r="X260" s="34"/>
      <c r="Y260" s="34"/>
      <c r="Z260" s="34"/>
      <c r="AA260" s="34"/>
      <c r="AB260" s="34"/>
      <c r="AC260" s="34"/>
    </row>
    <row r="261" spans="2:29" s="1" customFormat="1" x14ac:dyDescent="0.25">
      <c r="B261" s="164" t="s">
        <v>912</v>
      </c>
      <c r="C261" s="164"/>
      <c r="D261" s="90" t="s">
        <v>952</v>
      </c>
      <c r="E261" s="91"/>
      <c r="F261" s="92"/>
      <c r="U261" s="34"/>
      <c r="V261" s="34"/>
      <c r="W261" s="34"/>
      <c r="X261" s="34"/>
      <c r="Y261" s="34"/>
      <c r="Z261" s="34"/>
      <c r="AA261" s="34"/>
      <c r="AB261" s="34"/>
      <c r="AC261" s="34"/>
    </row>
    <row r="262" spans="2:29" s="1" customFormat="1" x14ac:dyDescent="0.25">
      <c r="B262" s="7"/>
      <c r="C262" s="7"/>
      <c r="D262" s="7"/>
      <c r="E262" s="7"/>
      <c r="F262" s="7"/>
      <c r="G262" s="7"/>
      <c r="H262" s="7"/>
      <c r="I262" s="7"/>
      <c r="J262" s="7"/>
      <c r="K262" s="7"/>
      <c r="L262" s="7"/>
      <c r="M262" s="7"/>
      <c r="N262" s="7"/>
      <c r="O262" s="7"/>
      <c r="P262" s="7"/>
      <c r="Q262" s="7"/>
      <c r="R262" s="7"/>
      <c r="S262" s="7"/>
      <c r="T262" s="7"/>
      <c r="U262" s="34"/>
      <c r="V262" s="34"/>
      <c r="W262" s="34"/>
      <c r="X262" s="34"/>
      <c r="Y262" s="34"/>
      <c r="Z262" s="34"/>
      <c r="AA262" s="34"/>
      <c r="AB262" s="34"/>
      <c r="AC262" s="34"/>
    </row>
    <row r="263" spans="2:29" s="1" customFormat="1" x14ac:dyDescent="0.25">
      <c r="B263" s="7" t="s">
        <v>915</v>
      </c>
      <c r="C263" s="7"/>
      <c r="D263" s="7"/>
      <c r="E263" s="7"/>
      <c r="F263" s="7"/>
      <c r="G263" s="7"/>
      <c r="H263" s="7"/>
      <c r="I263" s="7"/>
      <c r="J263" s="7"/>
      <c r="K263" s="7"/>
      <c r="L263" s="7"/>
      <c r="M263" s="7"/>
      <c r="N263" s="7"/>
      <c r="O263" s="7"/>
      <c r="P263" s="7"/>
      <c r="Q263" s="7"/>
      <c r="R263" s="7"/>
      <c r="S263" s="7"/>
      <c r="T263" s="7"/>
      <c r="U263" s="34"/>
      <c r="V263" s="34"/>
      <c r="W263" s="34"/>
      <c r="X263" s="34"/>
      <c r="Y263" s="34"/>
      <c r="Z263" s="34"/>
      <c r="AA263" s="34"/>
      <c r="AB263" s="34"/>
      <c r="AC263" s="34"/>
    </row>
    <row r="264" spans="2:29" s="1" customFormat="1" x14ac:dyDescent="0.25">
      <c r="B264" s="83" t="s">
        <v>22</v>
      </c>
      <c r="C264" s="78" t="s">
        <v>23</v>
      </c>
      <c r="D264" s="83" t="s">
        <v>255</v>
      </c>
      <c r="E264" s="83" t="s">
        <v>254</v>
      </c>
      <c r="F264" s="78" t="s">
        <v>68</v>
      </c>
      <c r="G264" s="78" t="s">
        <v>24</v>
      </c>
      <c r="I264" s="7"/>
      <c r="U264" s="34"/>
      <c r="V264" s="34"/>
      <c r="W264" s="34"/>
      <c r="X264" s="34"/>
      <c r="Y264" s="34"/>
      <c r="Z264" s="34"/>
      <c r="AA264" s="34"/>
      <c r="AB264" s="34"/>
      <c r="AC264" s="34"/>
    </row>
    <row r="265" spans="2:29" s="1" customFormat="1" x14ac:dyDescent="0.25">
      <c r="B265" s="83" t="s">
        <v>25</v>
      </c>
      <c r="C265" s="80">
        <v>11</v>
      </c>
      <c r="D265" s="77">
        <v>0</v>
      </c>
      <c r="E265" s="32">
        <v>0</v>
      </c>
      <c r="F265" s="24">
        <f>(C265+D265+E265+6)</f>
        <v>17</v>
      </c>
      <c r="G265" s="76">
        <f>FLOOR((F265-10)/2,1)</f>
        <v>3</v>
      </c>
      <c r="U265" s="34"/>
      <c r="V265" s="34"/>
      <c r="W265" s="34"/>
      <c r="X265" s="34"/>
      <c r="Y265" s="34"/>
      <c r="Z265" s="34"/>
      <c r="AA265" s="34"/>
      <c r="AB265" s="34"/>
      <c r="AC265" s="34"/>
    </row>
    <row r="266" spans="2:29" s="1" customFormat="1" x14ac:dyDescent="0.25">
      <c r="B266" s="83" t="s">
        <v>26</v>
      </c>
      <c r="C266" s="80">
        <v>15</v>
      </c>
      <c r="D266" s="77">
        <v>0</v>
      </c>
      <c r="E266" s="32">
        <v>0</v>
      </c>
      <c r="F266" s="24">
        <f t="shared" ref="F266" si="10">(C266+D266+E266)</f>
        <v>15</v>
      </c>
      <c r="G266" s="76">
        <f t="shared" ref="G266:G267" si="11">FLOOR((F266-10)/2,1)</f>
        <v>2</v>
      </c>
      <c r="U266" s="34"/>
      <c r="V266" s="34"/>
      <c r="W266" s="34"/>
      <c r="X266" s="34"/>
      <c r="Y266" s="34"/>
      <c r="Z266" s="34"/>
      <c r="AA266" s="34"/>
      <c r="AB266" s="34"/>
      <c r="AC266" s="34"/>
    </row>
    <row r="267" spans="2:29" s="1" customFormat="1" x14ac:dyDescent="0.25">
      <c r="B267" s="8" t="s">
        <v>27</v>
      </c>
      <c r="C267" s="80">
        <v>9</v>
      </c>
      <c r="D267" s="77">
        <v>0</v>
      </c>
      <c r="E267" s="32">
        <v>0</v>
      </c>
      <c r="F267" s="24">
        <f>(C267+D267+E267+6)</f>
        <v>15</v>
      </c>
      <c r="G267" s="76">
        <f t="shared" si="11"/>
        <v>2</v>
      </c>
      <c r="U267" s="34"/>
      <c r="V267" s="34"/>
      <c r="W267" s="34"/>
      <c r="X267" s="34"/>
      <c r="Y267" s="34"/>
      <c r="Z267" s="34"/>
      <c r="AA267" s="34"/>
      <c r="AB267" s="34"/>
      <c r="AC267" s="34"/>
    </row>
    <row r="268" spans="2:29" s="1" customFormat="1" x14ac:dyDescent="0.25">
      <c r="B268" s="7"/>
      <c r="C268" s="7"/>
      <c r="D268" s="7"/>
      <c r="E268" s="7"/>
      <c r="F268" s="7"/>
      <c r="G268" s="7"/>
      <c r="H268" s="7"/>
      <c r="I268" s="7"/>
      <c r="J268" s="7"/>
      <c r="K268" s="7"/>
      <c r="L268" s="7"/>
      <c r="M268" s="7"/>
      <c r="N268" s="7"/>
      <c r="O268" s="7"/>
      <c r="P268" s="7"/>
      <c r="Q268" s="7"/>
      <c r="R268" s="7"/>
      <c r="S268" s="7"/>
      <c r="T268" s="7"/>
      <c r="U268" s="34"/>
      <c r="V268" s="34"/>
      <c r="W268" s="34"/>
      <c r="X268" s="34"/>
      <c r="Y268" s="34"/>
      <c r="Z268" s="34"/>
      <c r="AA268" s="34"/>
      <c r="AB268" s="34"/>
      <c r="AC268" s="34"/>
    </row>
    <row r="269" spans="2:29" s="1" customFormat="1" x14ac:dyDescent="0.25">
      <c r="B269" s="7" t="s">
        <v>934</v>
      </c>
      <c r="U269" s="34"/>
      <c r="V269" s="34"/>
      <c r="W269" s="34"/>
      <c r="X269" s="34"/>
      <c r="Y269" s="34"/>
      <c r="Z269" s="34"/>
      <c r="AA269" s="34"/>
      <c r="AB269" s="34"/>
      <c r="AC269" s="34"/>
    </row>
    <row r="270" spans="2:29" s="7" customFormat="1" x14ac:dyDescent="0.25">
      <c r="B270" s="83" t="s">
        <v>31</v>
      </c>
      <c r="C270" s="25">
        <f>(F270+I270+L270+O270)</f>
        <v>7</v>
      </c>
      <c r="D270" s="111" t="s">
        <v>34</v>
      </c>
      <c r="E270" s="111"/>
      <c r="F270" s="81">
        <v>5</v>
      </c>
      <c r="G270" s="215" t="s">
        <v>935</v>
      </c>
      <c r="H270" s="216"/>
      <c r="I270" s="25">
        <f>G267</f>
        <v>2</v>
      </c>
      <c r="J270" s="111" t="s">
        <v>936</v>
      </c>
      <c r="K270" s="111"/>
      <c r="L270" s="214"/>
      <c r="M270" s="111" t="s">
        <v>937</v>
      </c>
      <c r="N270" s="111"/>
      <c r="O270" s="214"/>
      <c r="U270" s="34"/>
      <c r="V270" s="34"/>
      <c r="W270" s="34"/>
      <c r="X270" s="34"/>
      <c r="Y270" s="34"/>
      <c r="Z270" s="34"/>
      <c r="AA270" s="34"/>
      <c r="AB270" s="34"/>
      <c r="AC270" s="34"/>
    </row>
    <row r="271" spans="2:29" s="7" customFormat="1" x14ac:dyDescent="0.25">
      <c r="B271" s="78" t="s">
        <v>32</v>
      </c>
      <c r="C271" s="25">
        <f>(F271+I271+L271+O271)</f>
        <v>5</v>
      </c>
      <c r="D271" s="111" t="s">
        <v>34</v>
      </c>
      <c r="E271" s="111"/>
      <c r="F271" s="81">
        <v>3</v>
      </c>
      <c r="G271" s="164" t="s">
        <v>70</v>
      </c>
      <c r="H271" s="164"/>
      <c r="I271" s="25">
        <f>IF(G266&gt;G283,G283,G266)</f>
        <v>2</v>
      </c>
      <c r="J271" s="111" t="s">
        <v>936</v>
      </c>
      <c r="K271" s="111"/>
      <c r="L271" s="214"/>
      <c r="M271" s="111" t="s">
        <v>937</v>
      </c>
      <c r="N271" s="111"/>
      <c r="O271" s="214"/>
      <c r="U271" s="34"/>
      <c r="V271" s="34"/>
      <c r="W271" s="34"/>
      <c r="X271" s="34"/>
      <c r="Y271" s="34"/>
      <c r="Z271" s="34"/>
      <c r="AA271" s="34"/>
      <c r="AB271" s="34"/>
      <c r="AC271" s="34"/>
    </row>
    <row r="272" spans="2:29" s="7" customFormat="1" x14ac:dyDescent="0.25">
      <c r="B272" s="78" t="s">
        <v>33</v>
      </c>
      <c r="C272" s="25">
        <f>(F272+I272+L272+O272)</f>
        <v>3</v>
      </c>
      <c r="D272" s="111" t="s">
        <v>34</v>
      </c>
      <c r="E272" s="111"/>
      <c r="F272" s="81">
        <v>1</v>
      </c>
      <c r="G272" s="164" t="s">
        <v>935</v>
      </c>
      <c r="H272" s="164"/>
      <c r="I272" s="25">
        <f>G267</f>
        <v>2</v>
      </c>
      <c r="J272" s="111" t="s">
        <v>936</v>
      </c>
      <c r="K272" s="111"/>
      <c r="L272" s="214"/>
      <c r="M272" s="111" t="s">
        <v>937</v>
      </c>
      <c r="N272" s="111"/>
      <c r="O272" s="214"/>
      <c r="U272" s="34"/>
      <c r="V272" s="34"/>
      <c r="W272" s="34"/>
      <c r="X272" s="34"/>
      <c r="Y272" s="34"/>
      <c r="Z272" s="34"/>
      <c r="AA272" s="34"/>
      <c r="AB272" s="34"/>
      <c r="AC272" s="34"/>
    </row>
    <row r="273" spans="1:29" s="1" customFormat="1" x14ac:dyDescent="0.25">
      <c r="U273" s="34"/>
      <c r="V273" s="34"/>
      <c r="W273" s="34"/>
      <c r="X273" s="34"/>
      <c r="Y273" s="34"/>
      <c r="Z273" s="34"/>
      <c r="AA273" s="34"/>
      <c r="AB273" s="34"/>
      <c r="AC273" s="34"/>
    </row>
    <row r="274" spans="1:29" s="1" customFormat="1" x14ac:dyDescent="0.25">
      <c r="B274" s="7" t="s">
        <v>916</v>
      </c>
      <c r="C274" s="7"/>
      <c r="D274" s="7"/>
      <c r="E274" s="7"/>
      <c r="F274" s="7"/>
      <c r="G274" s="7"/>
      <c r="H274" s="7"/>
      <c r="I274" s="7"/>
      <c r="J274" s="7"/>
      <c r="K274" s="7"/>
      <c r="L274" s="7"/>
      <c r="M274" s="7"/>
      <c r="N274" s="7"/>
      <c r="O274" s="7"/>
      <c r="P274" s="7"/>
      <c r="Q274" s="7"/>
      <c r="R274" s="7"/>
      <c r="S274" s="7"/>
      <c r="T274" s="7"/>
      <c r="U274" s="34"/>
      <c r="V274" s="34"/>
      <c r="W274" s="34"/>
      <c r="X274" s="34"/>
      <c r="Y274" s="34"/>
      <c r="Z274" s="34"/>
      <c r="AA274" s="34"/>
      <c r="AB274" s="34"/>
      <c r="AC274" s="34"/>
    </row>
    <row r="275" spans="1:29" s="1" customFormat="1" x14ac:dyDescent="0.25">
      <c r="A275" s="7"/>
      <c r="B275" s="85" t="s">
        <v>74</v>
      </c>
      <c r="C275" s="85"/>
      <c r="D275" s="27">
        <f>(G266+J275)</f>
        <v>2</v>
      </c>
      <c r="E275" s="85" t="s">
        <v>70</v>
      </c>
      <c r="F275" s="85"/>
      <c r="G275" s="27">
        <f>IF(G266&gt;G283,G283,G266)</f>
        <v>2</v>
      </c>
      <c r="H275" s="85" t="s">
        <v>39</v>
      </c>
      <c r="I275" s="85"/>
      <c r="J275" s="203"/>
      <c r="K275" s="7"/>
      <c r="L275" s="7"/>
      <c r="M275" s="7"/>
      <c r="N275" s="7"/>
      <c r="O275" s="7"/>
      <c r="P275" s="7"/>
      <c r="Q275" s="7"/>
      <c r="R275" s="7"/>
      <c r="S275" s="7"/>
      <c r="T275" s="7"/>
      <c r="U275" s="34"/>
      <c r="V275" s="34"/>
      <c r="W275" s="34"/>
      <c r="X275" s="34"/>
      <c r="Y275" s="34"/>
      <c r="Z275" s="34"/>
      <c r="AA275" s="34"/>
      <c r="AB275" s="34"/>
      <c r="AC275" s="34"/>
    </row>
    <row r="276" spans="1:29" s="1" customFormat="1" x14ac:dyDescent="0.25">
      <c r="A276" s="7"/>
      <c r="B276" s="7"/>
      <c r="C276" s="7"/>
      <c r="D276" s="34"/>
      <c r="E276" s="7"/>
      <c r="F276" s="7"/>
      <c r="G276" s="34"/>
      <c r="H276" s="7"/>
      <c r="I276" s="7"/>
      <c r="J276" s="7"/>
      <c r="K276" s="7"/>
      <c r="L276" s="7"/>
      <c r="M276" s="7"/>
      <c r="N276" s="7"/>
      <c r="O276" s="7"/>
      <c r="P276" s="7"/>
      <c r="Q276" s="7"/>
      <c r="R276" s="7"/>
      <c r="S276" s="7"/>
      <c r="T276" s="7"/>
      <c r="U276" s="34"/>
      <c r="V276" s="34"/>
      <c r="W276" s="34"/>
      <c r="X276" s="34"/>
      <c r="Y276" s="34"/>
      <c r="Z276" s="34"/>
      <c r="AA276" s="34"/>
      <c r="AB276" s="34"/>
      <c r="AC276" s="34"/>
    </row>
    <row r="277" spans="1:29" s="1" customFormat="1" x14ac:dyDescent="0.25">
      <c r="A277" s="7"/>
      <c r="B277" s="131" t="s">
        <v>75</v>
      </c>
      <c r="C277" s="133"/>
      <c r="D277" s="29">
        <f>(G277+J277+M277+P277)</f>
        <v>6</v>
      </c>
      <c r="E277" s="131" t="s">
        <v>71</v>
      </c>
      <c r="F277" s="133"/>
      <c r="G277" s="27">
        <v>3</v>
      </c>
      <c r="H277" s="131" t="s">
        <v>72</v>
      </c>
      <c r="I277" s="133"/>
      <c r="J277" s="29">
        <f>G265</f>
        <v>3</v>
      </c>
      <c r="K277" s="131" t="s">
        <v>73</v>
      </c>
      <c r="L277" s="133"/>
      <c r="M277" s="29">
        <f>VLOOKUP(D260,SizeTable,2,FALSE)</f>
        <v>0</v>
      </c>
      <c r="N277" s="131" t="s">
        <v>39</v>
      </c>
      <c r="O277" s="133"/>
      <c r="P277" s="27"/>
      <c r="Q277" s="7"/>
      <c r="R277" s="7"/>
      <c r="S277" s="7"/>
      <c r="T277" s="7"/>
      <c r="U277" s="34"/>
      <c r="V277" s="34"/>
      <c r="W277" s="34"/>
      <c r="X277" s="34"/>
      <c r="Y277" s="34"/>
      <c r="Z277" s="34"/>
      <c r="AA277" s="34"/>
      <c r="AB277" s="34"/>
      <c r="AC277" s="34"/>
    </row>
    <row r="278" spans="1:29" s="1" customFormat="1" x14ac:dyDescent="0.25">
      <c r="A278" s="7"/>
      <c r="B278" s="131" t="s">
        <v>76</v>
      </c>
      <c r="C278" s="133"/>
      <c r="D278" s="29">
        <f>(G278+J278+M278+P278)</f>
        <v>3</v>
      </c>
      <c r="E278" s="131" t="s">
        <v>71</v>
      </c>
      <c r="F278" s="133"/>
      <c r="G278" s="29">
        <f>G277</f>
        <v>3</v>
      </c>
      <c r="H278" s="131" t="s">
        <v>36</v>
      </c>
      <c r="I278" s="133"/>
      <c r="J278" s="29">
        <f>IF(G266&gt;G283,G283,G266)</f>
        <v>2</v>
      </c>
      <c r="K278" s="131" t="s">
        <v>73</v>
      </c>
      <c r="L278" s="133"/>
      <c r="M278" s="29">
        <f>VLOOKUP(D260,SizeTable,2,FALSE)</f>
        <v>0</v>
      </c>
      <c r="N278" s="131" t="s">
        <v>39</v>
      </c>
      <c r="O278" s="133"/>
      <c r="P278" s="27">
        <v>-2</v>
      </c>
      <c r="Q278" s="7"/>
      <c r="R278" s="7"/>
      <c r="S278" s="7"/>
      <c r="T278" s="7"/>
      <c r="U278" s="34"/>
      <c r="V278" s="34"/>
      <c r="W278" s="34"/>
      <c r="X278" s="34"/>
      <c r="Y278" s="34"/>
      <c r="Z278" s="34"/>
      <c r="AA278" s="34"/>
      <c r="AB278" s="34"/>
      <c r="AC278" s="34"/>
    </row>
    <row r="279" spans="1:29" s="1" customFormat="1" x14ac:dyDescent="0.25">
      <c r="A279" s="7"/>
      <c r="B279" s="131" t="s">
        <v>77</v>
      </c>
      <c r="C279" s="133"/>
      <c r="D279" s="29">
        <f>(G279+J279+M279+P279)</f>
        <v>6</v>
      </c>
      <c r="E279" s="131" t="s">
        <v>71</v>
      </c>
      <c r="F279" s="133"/>
      <c r="G279" s="29">
        <f>G278</f>
        <v>3</v>
      </c>
      <c r="H279" s="131" t="s">
        <v>72</v>
      </c>
      <c r="I279" s="133"/>
      <c r="J279" s="29">
        <f>G265</f>
        <v>3</v>
      </c>
      <c r="K279" s="131" t="s">
        <v>73</v>
      </c>
      <c r="L279" s="133"/>
      <c r="M279" s="29">
        <f>LOOKUP(VLOOKUP(D260,SizeTable,2,FALSE), {-8,-4,-2,-1,0,1,2,4,8},{16,12,8,4,0,-4,-8,-12,-16})</f>
        <v>0</v>
      </c>
      <c r="N279" s="131" t="s">
        <v>39</v>
      </c>
      <c r="O279" s="133"/>
      <c r="P279" s="27"/>
      <c r="Q279" s="7"/>
      <c r="R279" s="7"/>
      <c r="S279" s="7"/>
      <c r="T279" s="7"/>
      <c r="U279" s="34"/>
      <c r="V279" s="34"/>
      <c r="W279" s="34"/>
      <c r="X279" s="34"/>
      <c r="Y279" s="34"/>
      <c r="Z279" s="34"/>
      <c r="AA279" s="34"/>
      <c r="AB279" s="34"/>
      <c r="AC279" s="34"/>
    </row>
    <row r="280" spans="1:29" s="1" customFormat="1" x14ac:dyDescent="0.25">
      <c r="A280" s="7"/>
      <c r="B280" s="7"/>
      <c r="C280" s="7"/>
      <c r="D280" s="34"/>
      <c r="E280" s="7"/>
      <c r="F280" s="7"/>
      <c r="G280" s="34"/>
      <c r="H280" s="7"/>
      <c r="I280" s="7"/>
      <c r="J280" s="34"/>
      <c r="K280" s="7"/>
      <c r="L280" s="7"/>
      <c r="M280" s="34"/>
      <c r="N280" s="7"/>
      <c r="O280" s="7"/>
      <c r="P280" s="34"/>
      <c r="Q280" s="7"/>
      <c r="R280" s="7"/>
      <c r="S280" s="7"/>
      <c r="T280" s="7"/>
      <c r="U280" s="34"/>
      <c r="V280" s="34"/>
      <c r="W280" s="34"/>
      <c r="X280" s="34"/>
      <c r="Y280" s="34"/>
      <c r="Z280" s="34"/>
      <c r="AA280" s="34"/>
      <c r="AB280" s="34"/>
      <c r="AC280" s="34"/>
    </row>
    <row r="281" spans="1:29" s="1" customFormat="1" x14ac:dyDescent="0.25">
      <c r="A281" s="7"/>
      <c r="B281" s="85" t="s">
        <v>10</v>
      </c>
      <c r="C281" s="85"/>
      <c r="D281" s="29">
        <f>(10+G281+J281+M281+P281+J282+M282+P282+M283)</f>
        <v>12</v>
      </c>
      <c r="E281" s="85" t="s">
        <v>78</v>
      </c>
      <c r="F281" s="85"/>
      <c r="G281" s="29">
        <v>0</v>
      </c>
      <c r="H281" s="85" t="s">
        <v>36</v>
      </c>
      <c r="I281" s="85"/>
      <c r="J281" s="29">
        <f>IF(G266&gt;G283,G283,G266)</f>
        <v>2</v>
      </c>
      <c r="K281" s="85" t="s">
        <v>73</v>
      </c>
      <c r="L281" s="85"/>
      <c r="M281" s="29">
        <f>VLOOKUP(D260,SizeTable,2,FALSE)</f>
        <v>0</v>
      </c>
      <c r="N281" s="85" t="s">
        <v>79</v>
      </c>
      <c r="O281" s="85"/>
      <c r="P281" s="27">
        <v>0</v>
      </c>
      <c r="Q281" s="7"/>
      <c r="R281" s="7"/>
      <c r="S281" s="7"/>
      <c r="T281" s="7"/>
      <c r="U281" s="34"/>
      <c r="V281" s="34"/>
      <c r="W281" s="34"/>
      <c r="X281" s="34"/>
      <c r="Y281" s="34"/>
      <c r="Z281" s="34"/>
      <c r="AA281" s="34"/>
      <c r="AB281" s="34"/>
      <c r="AC281" s="34"/>
    </row>
    <row r="282" spans="1:29" s="1" customFormat="1" x14ac:dyDescent="0.25">
      <c r="A282" s="7"/>
      <c r="B282" s="131" t="s">
        <v>82</v>
      </c>
      <c r="C282" s="133"/>
      <c r="D282" s="29">
        <f>(10+J281+M281+J282+P282+M283)</f>
        <v>12</v>
      </c>
      <c r="E282" s="94" t="s">
        <v>177</v>
      </c>
      <c r="F282" s="96"/>
      <c r="G282" s="29">
        <f>(10+G281+M281+P281+J282+M282+P282)</f>
        <v>10</v>
      </c>
      <c r="H282" s="149" t="s">
        <v>81</v>
      </c>
      <c r="I282" s="150"/>
      <c r="J282" s="27">
        <v>0</v>
      </c>
      <c r="K282" s="85" t="s">
        <v>80</v>
      </c>
      <c r="L282" s="85"/>
      <c r="M282" s="27">
        <v>0</v>
      </c>
      <c r="N282" s="85" t="s">
        <v>39</v>
      </c>
      <c r="O282" s="85"/>
      <c r="P282" s="27">
        <v>0</v>
      </c>
      <c r="Q282" s="7"/>
      <c r="R282" s="7"/>
      <c r="S282" s="7"/>
      <c r="T282" s="7"/>
      <c r="U282" s="34"/>
      <c r="V282" s="34"/>
      <c r="W282" s="34"/>
      <c r="X282" s="34"/>
      <c r="Y282" s="34"/>
      <c r="Z282" s="34"/>
      <c r="AA282" s="34"/>
      <c r="AB282" s="34"/>
      <c r="AC282" s="34"/>
    </row>
    <row r="283" spans="1:29" s="1" customFormat="1" x14ac:dyDescent="0.25">
      <c r="A283" s="7"/>
      <c r="B283" s="189" t="s">
        <v>14</v>
      </c>
      <c r="C283" s="189"/>
      <c r="D283" s="79">
        <f>IF((SUM(N252:N255)+SUM(N308:N311))&gt;R265,R265,(SUM(N252:N255)+SUM(N308:N311)))</f>
        <v>0</v>
      </c>
      <c r="E283" s="131" t="s">
        <v>15</v>
      </c>
      <c r="F283" s="133"/>
      <c r="G283" s="29" t="s">
        <v>1</v>
      </c>
      <c r="H283" s="149" t="s">
        <v>16</v>
      </c>
      <c r="I283" s="150"/>
      <c r="J283" s="30">
        <v>0</v>
      </c>
      <c r="K283" s="131" t="s">
        <v>84</v>
      </c>
      <c r="L283" s="133"/>
      <c r="M283" s="27">
        <v>0</v>
      </c>
      <c r="N283" s="7"/>
      <c r="O283" s="7"/>
      <c r="P283" s="7"/>
      <c r="Q283" s="7"/>
      <c r="R283" s="7"/>
      <c r="S283" s="7"/>
      <c r="T283" s="7"/>
      <c r="U283" s="34"/>
      <c r="V283" s="34"/>
      <c r="W283" s="34"/>
      <c r="X283" s="34"/>
      <c r="Y283" s="34"/>
      <c r="Z283" s="34"/>
      <c r="AA283" s="34"/>
      <c r="AB283" s="34"/>
      <c r="AC283" s="34"/>
    </row>
    <row r="284" spans="1:29" s="1" customFormat="1" x14ac:dyDescent="0.25">
      <c r="A284" s="7"/>
      <c r="B284" s="105" t="s">
        <v>243</v>
      </c>
      <c r="C284" s="107"/>
      <c r="D284" s="207"/>
      <c r="E284" s="208"/>
      <c r="F284" s="208"/>
      <c r="G284" s="208"/>
      <c r="H284" s="208"/>
      <c r="I284" s="208"/>
      <c r="J284" s="208"/>
      <c r="K284" s="208"/>
      <c r="L284" s="208"/>
      <c r="M284" s="208"/>
      <c r="N284" s="208"/>
      <c r="O284" s="208"/>
      <c r="P284" s="209"/>
      <c r="Q284" s="7"/>
      <c r="R284" s="7"/>
      <c r="S284" s="7"/>
      <c r="T284" s="7"/>
      <c r="U284" s="34"/>
      <c r="V284" s="34"/>
      <c r="W284" s="34"/>
      <c r="X284" s="34"/>
      <c r="Y284" s="34"/>
      <c r="Z284" s="34"/>
      <c r="AA284" s="34"/>
      <c r="AB284" s="34"/>
      <c r="AC284" s="34"/>
    </row>
    <row r="285" spans="1:29" s="1" customFormat="1" x14ac:dyDescent="0.25">
      <c r="A285" s="7"/>
      <c r="B285" s="7"/>
      <c r="C285" s="7"/>
      <c r="D285" s="7"/>
      <c r="E285" s="7"/>
      <c r="F285" s="7"/>
      <c r="G285" s="7"/>
      <c r="H285" s="7"/>
      <c r="I285" s="7"/>
      <c r="J285" s="7"/>
      <c r="K285" s="7"/>
      <c r="L285" s="7"/>
      <c r="M285" s="7"/>
      <c r="N285" s="7"/>
      <c r="O285" s="7"/>
      <c r="P285" s="7"/>
      <c r="Q285" s="7"/>
      <c r="R285" s="7"/>
      <c r="S285" s="7"/>
      <c r="T285" s="7"/>
      <c r="U285" s="34"/>
      <c r="V285" s="34"/>
      <c r="W285" s="34"/>
      <c r="X285" s="34"/>
      <c r="Y285" s="34"/>
      <c r="Z285" s="34"/>
      <c r="AA285" s="34"/>
      <c r="AB285" s="34"/>
      <c r="AC285" s="34"/>
    </row>
    <row r="286" spans="1:29" s="1" customFormat="1" x14ac:dyDescent="0.25">
      <c r="A286" s="7"/>
      <c r="B286" s="85" t="s">
        <v>85</v>
      </c>
      <c r="C286" s="85"/>
      <c r="D286" s="87"/>
      <c r="E286" s="134"/>
      <c r="F286" s="88"/>
      <c r="G286" s="85" t="s">
        <v>86</v>
      </c>
      <c r="H286" s="85"/>
      <c r="I286" s="203"/>
      <c r="J286" s="82" t="s">
        <v>87</v>
      </c>
      <c r="K286" s="203"/>
      <c r="L286" s="82" t="s">
        <v>88</v>
      </c>
      <c r="M286" s="203"/>
      <c r="N286" s="7"/>
      <c r="O286" s="7"/>
      <c r="P286" s="7"/>
      <c r="Q286" s="7"/>
      <c r="R286" s="7"/>
      <c r="S286" s="7"/>
      <c r="T286" s="7"/>
      <c r="U286" s="34"/>
      <c r="V286" s="34"/>
      <c r="W286" s="34"/>
      <c r="X286" s="34"/>
      <c r="Y286" s="34"/>
      <c r="Z286" s="34"/>
      <c r="AA286" s="34"/>
      <c r="AB286" s="34"/>
      <c r="AC286" s="34"/>
    </row>
    <row r="287" spans="1:29" s="1" customFormat="1" x14ac:dyDescent="0.25">
      <c r="A287" s="7"/>
      <c r="B287" s="85" t="s">
        <v>90</v>
      </c>
      <c r="C287" s="85"/>
      <c r="D287" s="87"/>
      <c r="E287" s="134"/>
      <c r="F287" s="88"/>
      <c r="G287" s="85" t="s">
        <v>86</v>
      </c>
      <c r="H287" s="85"/>
      <c r="I287" s="203"/>
      <c r="J287" s="82" t="s">
        <v>87</v>
      </c>
      <c r="K287" s="203"/>
      <c r="L287" s="82" t="s">
        <v>88</v>
      </c>
      <c r="M287" s="203"/>
      <c r="N287" s="85" t="s">
        <v>89</v>
      </c>
      <c r="O287" s="85"/>
      <c r="P287" s="203"/>
      <c r="Q287" s="7"/>
      <c r="R287" s="7"/>
      <c r="S287" s="7"/>
      <c r="T287" s="7"/>
      <c r="U287" s="34"/>
      <c r="V287" s="34"/>
      <c r="W287" s="34"/>
      <c r="X287" s="34"/>
      <c r="Y287" s="34"/>
      <c r="Z287" s="34"/>
      <c r="AA287" s="34"/>
      <c r="AB287" s="34"/>
      <c r="AC287" s="34"/>
    </row>
    <row r="288" spans="1:29" s="1" customFormat="1" x14ac:dyDescent="0.25">
      <c r="B288" s="7"/>
      <c r="C288" s="7"/>
      <c r="D288" s="7"/>
      <c r="E288" s="7"/>
      <c r="F288" s="7"/>
      <c r="G288" s="7"/>
      <c r="H288" s="7"/>
      <c r="I288" s="7"/>
      <c r="J288" s="7"/>
      <c r="K288" s="7"/>
      <c r="L288" s="7"/>
      <c r="M288" s="7"/>
      <c r="N288" s="7"/>
      <c r="O288" s="7"/>
      <c r="P288" s="7"/>
      <c r="Q288" s="7"/>
      <c r="R288" s="7"/>
      <c r="S288" s="7"/>
      <c r="T288" s="7"/>
      <c r="U288" s="34"/>
      <c r="V288" s="34"/>
      <c r="W288" s="34"/>
      <c r="X288" s="34"/>
      <c r="Y288" s="34"/>
      <c r="Z288" s="34"/>
      <c r="AA288" s="34"/>
      <c r="AB288" s="34"/>
      <c r="AC288" s="34"/>
    </row>
    <row r="289" spans="2:29" s="1" customFormat="1" x14ac:dyDescent="0.25">
      <c r="B289" s="7" t="s">
        <v>938</v>
      </c>
      <c r="C289" s="7"/>
      <c r="D289" s="7"/>
      <c r="E289" s="7"/>
      <c r="F289" s="7"/>
      <c r="G289" s="7"/>
      <c r="H289" s="7"/>
      <c r="I289" s="7"/>
      <c r="J289" s="7"/>
      <c r="K289" s="7"/>
      <c r="L289" s="7"/>
      <c r="M289" s="7"/>
      <c r="N289" s="7"/>
      <c r="O289" s="7"/>
      <c r="P289" s="7"/>
      <c r="Q289" s="7"/>
      <c r="R289" s="7"/>
      <c r="S289" s="7"/>
      <c r="T289" s="7"/>
      <c r="U289" s="34"/>
      <c r="V289" s="34"/>
      <c r="W289" s="34"/>
      <c r="X289" s="34"/>
      <c r="Y289" s="34"/>
      <c r="Z289" s="34"/>
      <c r="AA289" s="34"/>
      <c r="AB289" s="34"/>
      <c r="AC289" s="34"/>
    </row>
    <row r="290" spans="2:29" s="7" customFormat="1" x14ac:dyDescent="0.25">
      <c r="B290" s="111" t="s">
        <v>62</v>
      </c>
      <c r="C290" s="111"/>
      <c r="D290" s="111"/>
      <c r="E290" s="111" t="s">
        <v>63</v>
      </c>
      <c r="F290" s="111"/>
      <c r="G290" s="111"/>
      <c r="H290" s="111" t="s">
        <v>64</v>
      </c>
      <c r="I290" s="111"/>
      <c r="J290" s="111"/>
      <c r="K290" s="111" t="s">
        <v>65</v>
      </c>
      <c r="L290" s="111"/>
      <c r="M290" s="111" t="s">
        <v>60</v>
      </c>
      <c r="N290" s="111"/>
      <c r="O290" s="111"/>
      <c r="P290" s="111" t="s">
        <v>61</v>
      </c>
      <c r="Q290" s="111"/>
      <c r="U290" s="34"/>
      <c r="V290" s="34"/>
      <c r="W290" s="34"/>
      <c r="X290" s="34"/>
      <c r="Y290" s="34"/>
      <c r="Z290" s="34"/>
      <c r="AA290" s="34"/>
      <c r="AB290" s="34"/>
      <c r="AC290" s="34"/>
    </row>
    <row r="291" spans="2:29" s="1" customFormat="1" x14ac:dyDescent="0.25">
      <c r="B291" s="154">
        <f>LOOKUP(F265, {1,2,3,4,5,6,7,8,9,10,11,12,13,14,15,16,17,18,19,20,21,22,23,24,25,26,27,28,29,30,31,32,33,34,35,36,37,38,39,40}, {3,6,10,13,16,20,23,26,30,33,38,43,50,58,66,76,86,100,116,133,153,173,200,233,266,306,346,400,466,532,612,692,800,932,1064,1224,1384,1600,1864,2128})</f>
        <v>86</v>
      </c>
      <c r="C291" s="154"/>
      <c r="D291" s="154"/>
      <c r="E291" s="154">
        <f>LOOKUP(F265, {1,2,3,4,5,6,7,8,9,10,11,12,13,14,15,16,17,18,19,20,21,22,23,24,25,26,27,28,29,30,31,32,33,34,35,36,37,38,39,40}, {6,13,20,26,33,40,46,53,60,66,76,86,100,116,133,153,173,200,233,266,306,346,400,466,533,613,693,800,933,1064,1224,1384,1600,1864,2132,2452,2772,3200,3732,4256})</f>
        <v>173</v>
      </c>
      <c r="F291" s="154"/>
      <c r="G291" s="154"/>
      <c r="H291" s="154">
        <f>LOOKUP(F265, {1,2,3,4,5,6,7,8,9,10,11,12,13,14,15,16,17,18,19,20,21,22,23,24,25,26,27,28,29,30,31,32,33,34,35,36,37,38,39,40}, {10,20,30,40,50,60,70,80,90,100,115,130,150,175,200,230,260,300,350,400,460,520,600,700,800,920,1040,1200,1400,1600,1840,2080,2400,2800,3200,3680,4160,4800,5600,6400})</f>
        <v>260</v>
      </c>
      <c r="I291" s="154"/>
      <c r="J291" s="154"/>
      <c r="K291" s="154">
        <v>0</v>
      </c>
      <c r="L291" s="154"/>
      <c r="M291" s="188">
        <v>30</v>
      </c>
      <c r="N291" s="188"/>
      <c r="O291" s="188"/>
      <c r="P291" s="154">
        <f>IF(M291&gt;=30,M291-(IF(B291&gt;=K291,0,10)),M291-(IF(B291&gt;=K291,0,5)))</f>
        <v>30</v>
      </c>
      <c r="Q291" s="154"/>
      <c r="R291" s="17">
        <f>IF(AND(K291&gt;B291,K291&lt;=E291),-3,IF(AND(K291&gt;E291,K291&lt;=H291),-6,0))</f>
        <v>0</v>
      </c>
      <c r="U291" s="34"/>
      <c r="V291" s="34"/>
      <c r="W291" s="34"/>
      <c r="X291" s="34"/>
      <c r="Y291" s="34"/>
      <c r="Z291" s="34"/>
      <c r="AA291" s="34"/>
      <c r="AB291" s="34"/>
      <c r="AC291" s="34"/>
    </row>
    <row r="292" spans="2:29" s="1" customFormat="1" x14ac:dyDescent="0.25">
      <c r="B292" s="7"/>
      <c r="C292" s="7"/>
      <c r="D292" s="7"/>
      <c r="E292" s="7"/>
      <c r="F292" s="7"/>
      <c r="G292" s="7"/>
      <c r="H292" s="7"/>
      <c r="I292" s="7"/>
      <c r="J292" s="7"/>
      <c r="K292" s="7"/>
      <c r="L292" s="7"/>
      <c r="M292" s="7"/>
      <c r="N292" s="7"/>
      <c r="O292" s="7"/>
      <c r="P292" s="7"/>
      <c r="Q292" s="7"/>
      <c r="R292" s="7"/>
      <c r="S292" s="7"/>
      <c r="T292" s="7"/>
      <c r="U292" s="34"/>
      <c r="V292" s="34"/>
      <c r="W292" s="34"/>
      <c r="X292" s="34"/>
      <c r="Y292" s="34"/>
      <c r="Z292" s="34"/>
      <c r="AA292" s="34"/>
      <c r="AB292" s="34"/>
      <c r="AC292" s="34"/>
    </row>
    <row r="293" spans="2:29" s="1" customFormat="1" x14ac:dyDescent="0.25">
      <c r="B293" s="7" t="s">
        <v>953</v>
      </c>
      <c r="C293" s="7"/>
      <c r="D293" s="7"/>
      <c r="E293" s="7"/>
      <c r="F293" s="7"/>
      <c r="G293" s="7"/>
      <c r="H293" s="7"/>
      <c r="I293" s="7"/>
      <c r="J293" s="7"/>
      <c r="K293" s="7"/>
      <c r="L293" s="7"/>
      <c r="M293" s="7"/>
      <c r="N293" s="7"/>
      <c r="O293" s="7"/>
      <c r="P293" s="7"/>
      <c r="Q293" s="7"/>
      <c r="R293" s="7"/>
      <c r="S293" s="7"/>
      <c r="T293" s="7"/>
      <c r="U293" s="34"/>
      <c r="V293" s="34"/>
      <c r="W293" s="34"/>
      <c r="X293" s="34"/>
      <c r="Y293" s="34"/>
      <c r="Z293" s="34"/>
      <c r="AA293" s="34"/>
      <c r="AB293" s="34"/>
      <c r="AC293" s="34"/>
    </row>
    <row r="294" spans="2:29" s="7" customFormat="1" x14ac:dyDescent="0.25">
      <c r="B294" s="111" t="s">
        <v>62</v>
      </c>
      <c r="C294" s="111"/>
      <c r="D294" s="111"/>
      <c r="E294" s="111" t="s">
        <v>63</v>
      </c>
      <c r="F294" s="111"/>
      <c r="G294" s="111"/>
      <c r="H294" s="111" t="s">
        <v>64</v>
      </c>
      <c r="I294" s="111"/>
      <c r="J294" s="111"/>
      <c r="K294" s="111" t="s">
        <v>65</v>
      </c>
      <c r="L294" s="111"/>
      <c r="M294" s="111" t="s">
        <v>60</v>
      </c>
      <c r="N294" s="111"/>
      <c r="O294" s="111"/>
      <c r="P294" s="111" t="s">
        <v>61</v>
      </c>
      <c r="Q294" s="111"/>
      <c r="U294" s="34"/>
      <c r="V294" s="34"/>
      <c r="W294" s="34"/>
      <c r="X294" s="34"/>
      <c r="Y294" s="34"/>
      <c r="Z294" s="34"/>
      <c r="AA294" s="34"/>
      <c r="AB294" s="34"/>
      <c r="AC294" s="34"/>
    </row>
    <row r="295" spans="2:29" s="1" customFormat="1" x14ac:dyDescent="0.25">
      <c r="B295" s="154">
        <f>LOOKUP(F265, {1,2,3,4,5,6,7,8,9,10,11,12,13,14,15,16,17,18,19,20,21,22,23,24,25,26,27,28,29,30,31,32,33,34,35,36,37,38,39,40}, {3,6,10,13,16,20,23,26,30,33,38,43,50,58,66,76,86,100,116,133,153,173,200,233,266,306,346,400,466,532,612,692,800,932,1064,1224,1384,1600,1864,2128})</f>
        <v>86</v>
      </c>
      <c r="C295" s="154"/>
      <c r="D295" s="154"/>
      <c r="E295" s="154">
        <f>LOOKUP(F265, {1,2,3,4,5,6,7,8,9,10,11,12,13,14,15,16,17,18,19,20,21,22,23,24,25,26,27,28,29,30,31,32,33,34,35,36,37,38,39,40}, {6,13,20,26,33,40,46,53,60,66,76,86,100,116,133,153,173,200,233,266,306,346,400,466,533,613,693,800,933,1064,1224,1384,1600,1864,2132,2452,2772,3200,3732,4256})</f>
        <v>173</v>
      </c>
      <c r="F295" s="154"/>
      <c r="G295" s="154"/>
      <c r="H295" s="154">
        <f>LOOKUP(F265, {1,2,3,4,5,6,7,8,9,10,11,12,13,14,15,16,17,18,19,20,21,22,23,24,25,26,27,28,29,30,31,32,33,34,35,36,37,38,39,40}, {10,20,30,40,50,60,70,80,90,100,115,130,150,175,200,230,260,300,350,400,460,520,600,700,800,920,1040,1200,1400,1600,1840,2080,2400,2800,3200,3680,4160,4800,5600,6400})</f>
        <v>260</v>
      </c>
      <c r="I295" s="154"/>
      <c r="J295" s="154"/>
      <c r="K295" s="154">
        <v>0</v>
      </c>
      <c r="L295" s="154"/>
      <c r="M295" s="188">
        <v>50</v>
      </c>
      <c r="N295" s="188"/>
      <c r="O295" s="188"/>
      <c r="P295" s="154">
        <f>IF(M295&gt;=30,M295-(IF(B295&gt;=K295,0,10)),M295-(IF(B295&gt;=K295,0,5)))</f>
        <v>50</v>
      </c>
      <c r="Q295" s="154"/>
      <c r="R295" s="17">
        <f>IF(AND(K295&gt;B295,K295&lt;=E295),-3,IF(AND(K295&gt;E295,K295&lt;=H295),-6,0))</f>
        <v>0</v>
      </c>
      <c r="U295" s="34"/>
      <c r="V295" s="34"/>
      <c r="W295" s="34"/>
      <c r="X295" s="34"/>
      <c r="Y295" s="34"/>
      <c r="Z295" s="34"/>
      <c r="AA295" s="34"/>
      <c r="AB295" s="34"/>
      <c r="AC295" s="34"/>
    </row>
    <row r="296" spans="2:29" s="1" customFormat="1" x14ac:dyDescent="0.25">
      <c r="B296" s="7"/>
      <c r="C296" s="7"/>
      <c r="D296" s="7"/>
      <c r="E296" s="7"/>
      <c r="F296" s="7"/>
      <c r="G296" s="7"/>
      <c r="H296" s="7"/>
      <c r="I296" s="7"/>
      <c r="J296" s="7"/>
      <c r="K296" s="7"/>
      <c r="L296" s="7"/>
      <c r="M296" s="7"/>
      <c r="N296" s="7"/>
      <c r="O296" s="7"/>
      <c r="P296" s="7"/>
      <c r="Q296" s="7"/>
      <c r="R296" s="7"/>
      <c r="S296" s="7"/>
      <c r="T296" s="7"/>
      <c r="U296" s="34"/>
      <c r="V296" s="34"/>
      <c r="W296" s="34"/>
      <c r="X296" s="34"/>
      <c r="Y296" s="34"/>
      <c r="Z296" s="34"/>
      <c r="AA296" s="34"/>
      <c r="AB296" s="34"/>
      <c r="AC296" s="34"/>
    </row>
    <row r="297" spans="2:29" s="7" customFormat="1" x14ac:dyDescent="0.25">
      <c r="B297" s="7" t="s">
        <v>92</v>
      </c>
      <c r="U297" s="34"/>
      <c r="V297" s="34"/>
      <c r="W297" s="34"/>
      <c r="X297" s="34"/>
      <c r="Y297" s="34"/>
      <c r="Z297" s="34"/>
      <c r="AA297" s="34"/>
      <c r="AB297" s="34"/>
      <c r="AC297" s="34"/>
    </row>
    <row r="298" spans="2:29" s="7" customFormat="1" ht="15" customHeight="1" x14ac:dyDescent="0.25">
      <c r="B298" s="139" t="s">
        <v>22</v>
      </c>
      <c r="C298" s="140"/>
      <c r="D298" s="140"/>
      <c r="E298" s="141"/>
      <c r="F298" s="139" t="s">
        <v>93</v>
      </c>
      <c r="G298" s="140"/>
      <c r="H298" s="140"/>
      <c r="I298" s="140"/>
      <c r="J298" s="140"/>
      <c r="K298" s="140"/>
      <c r="L298" s="140"/>
      <c r="M298" s="140"/>
      <c r="N298" s="140"/>
      <c r="O298" s="140"/>
      <c r="P298" s="141"/>
      <c r="Q298" s="139" t="s">
        <v>42</v>
      </c>
      <c r="R298" s="140"/>
      <c r="S298" s="141"/>
      <c r="U298" s="34"/>
      <c r="V298" s="34"/>
      <c r="W298" s="34"/>
      <c r="X298" s="34"/>
      <c r="Y298" s="34"/>
      <c r="Z298" s="34"/>
      <c r="AA298" s="34"/>
      <c r="AB298" s="34"/>
      <c r="AC298" s="34"/>
    </row>
    <row r="299" spans="2:29" s="7" customFormat="1" x14ac:dyDescent="0.25">
      <c r="B299" s="90" t="s">
        <v>954</v>
      </c>
      <c r="C299" s="91"/>
      <c r="D299" s="91"/>
      <c r="E299" s="92"/>
      <c r="F299" s="99" t="s">
        <v>955</v>
      </c>
      <c r="G299" s="91"/>
      <c r="H299" s="91"/>
      <c r="I299" s="91"/>
      <c r="J299" s="91"/>
      <c r="K299" s="91"/>
      <c r="L299" s="91"/>
      <c r="M299" s="91"/>
      <c r="N299" s="91"/>
      <c r="O299" s="91"/>
      <c r="P299" s="92"/>
      <c r="Q299" s="90" t="s">
        <v>952</v>
      </c>
      <c r="R299" s="91"/>
      <c r="S299" s="92"/>
      <c r="U299" s="34"/>
      <c r="V299" s="34"/>
      <c r="W299" s="34"/>
      <c r="X299" s="34"/>
      <c r="Y299" s="34"/>
      <c r="Z299" s="34"/>
      <c r="AA299" s="34"/>
      <c r="AB299" s="34"/>
      <c r="AC299" s="34"/>
    </row>
    <row r="300" spans="2:29" s="7" customFormat="1" x14ac:dyDescent="0.25">
      <c r="B300" s="90" t="s">
        <v>956</v>
      </c>
      <c r="C300" s="91"/>
      <c r="D300" s="91"/>
      <c r="E300" s="92"/>
      <c r="F300" s="90" t="s">
        <v>957</v>
      </c>
      <c r="G300" s="91"/>
      <c r="H300" s="91"/>
      <c r="I300" s="91"/>
      <c r="J300" s="91"/>
      <c r="K300" s="91"/>
      <c r="L300" s="91"/>
      <c r="M300" s="91"/>
      <c r="N300" s="91"/>
      <c r="O300" s="91"/>
      <c r="P300" s="92"/>
      <c r="Q300" s="90" t="s">
        <v>952</v>
      </c>
      <c r="R300" s="91"/>
      <c r="S300" s="92"/>
      <c r="U300" s="34"/>
      <c r="V300" s="34"/>
      <c r="W300" s="34"/>
      <c r="X300" s="34"/>
      <c r="Y300" s="34"/>
      <c r="Z300" s="34"/>
      <c r="AA300" s="34"/>
      <c r="AB300" s="34"/>
      <c r="AC300" s="34"/>
    </row>
    <row r="301" spans="2:29" s="1" customFormat="1" x14ac:dyDescent="0.25">
      <c r="B301" s="7"/>
      <c r="C301" s="7"/>
      <c r="D301" s="7"/>
      <c r="E301" s="7"/>
      <c r="F301" s="7"/>
      <c r="G301" s="7"/>
      <c r="H301" s="7"/>
      <c r="I301" s="7"/>
      <c r="J301" s="7"/>
      <c r="K301" s="7"/>
      <c r="L301" s="7"/>
      <c r="M301" s="7"/>
      <c r="N301" s="7"/>
      <c r="O301" s="7"/>
      <c r="P301" s="7"/>
      <c r="Q301" s="7"/>
      <c r="R301" s="7"/>
      <c r="S301" s="7"/>
      <c r="T301" s="7"/>
      <c r="U301" s="34"/>
      <c r="V301" s="34"/>
      <c r="W301" s="34"/>
      <c r="X301" s="34"/>
      <c r="Y301" s="34"/>
      <c r="Z301" s="34"/>
      <c r="AA301" s="34"/>
      <c r="AB301" s="34"/>
      <c r="AC301" s="34"/>
    </row>
    <row r="302" spans="2:29" s="7" customFormat="1" ht="15" customHeight="1" x14ac:dyDescent="0.25">
      <c r="B302" s="7" t="s">
        <v>926</v>
      </c>
      <c r="U302" s="34"/>
      <c r="V302" s="34"/>
      <c r="W302" s="34"/>
      <c r="X302" s="34"/>
      <c r="Y302" s="34"/>
      <c r="Z302" s="34"/>
      <c r="AA302" s="34"/>
      <c r="AB302" s="34"/>
      <c r="AC302" s="34"/>
    </row>
    <row r="303" spans="2:29" s="7" customFormat="1" ht="15" customHeight="1" x14ac:dyDescent="0.25">
      <c r="B303" s="139" t="s">
        <v>22</v>
      </c>
      <c r="C303" s="140"/>
      <c r="D303" s="140"/>
      <c r="E303" s="141"/>
      <c r="F303" s="139" t="s">
        <v>93</v>
      </c>
      <c r="G303" s="140"/>
      <c r="H303" s="140"/>
      <c r="I303" s="140"/>
      <c r="J303" s="140"/>
      <c r="K303" s="140"/>
      <c r="L303" s="140"/>
      <c r="M303" s="140"/>
      <c r="N303" s="140"/>
      <c r="O303" s="140"/>
      <c r="P303" s="141"/>
      <c r="Q303" s="139" t="s">
        <v>42</v>
      </c>
      <c r="R303" s="140"/>
      <c r="S303" s="141"/>
      <c r="U303" s="34"/>
      <c r="V303" s="34"/>
      <c r="W303" s="34"/>
      <c r="X303" s="34"/>
      <c r="Y303" s="34"/>
      <c r="Z303" s="34"/>
      <c r="AA303" s="34"/>
      <c r="AB303" s="34"/>
      <c r="AC303" s="34"/>
    </row>
    <row r="304" spans="2:29" s="7" customFormat="1" x14ac:dyDescent="0.25">
      <c r="B304" s="90" t="s">
        <v>958</v>
      </c>
      <c r="C304" s="91"/>
      <c r="D304" s="91"/>
      <c r="E304" s="92"/>
      <c r="F304" s="99" t="s">
        <v>959</v>
      </c>
      <c r="G304" s="91"/>
      <c r="H304" s="91"/>
      <c r="I304" s="91"/>
      <c r="J304" s="91"/>
      <c r="K304" s="91"/>
      <c r="L304" s="91"/>
      <c r="M304" s="91"/>
      <c r="N304" s="91"/>
      <c r="O304" s="91"/>
      <c r="P304" s="92"/>
      <c r="Q304" s="90" t="s">
        <v>952</v>
      </c>
      <c r="R304" s="91"/>
      <c r="S304" s="92"/>
      <c r="U304" s="34"/>
      <c r="V304" s="34"/>
      <c r="W304" s="34"/>
      <c r="X304" s="34"/>
      <c r="Y304" s="34"/>
      <c r="Z304" s="34"/>
      <c r="AA304" s="34"/>
      <c r="AB304" s="34"/>
      <c r="AC304" s="34"/>
    </row>
    <row r="305" spans="2:29" s="1" customFormat="1" x14ac:dyDescent="0.25">
      <c r="B305" s="7"/>
      <c r="C305" s="7"/>
      <c r="D305" s="7"/>
      <c r="E305" s="7"/>
      <c r="F305" s="7"/>
      <c r="G305" s="7"/>
      <c r="H305" s="7"/>
      <c r="I305" s="7"/>
      <c r="J305" s="7"/>
      <c r="K305" s="7"/>
      <c r="L305" s="7"/>
      <c r="M305" s="7"/>
      <c r="N305" s="7"/>
      <c r="O305" s="7"/>
      <c r="P305" s="7"/>
      <c r="Q305" s="7"/>
      <c r="R305" s="7"/>
      <c r="S305" s="7"/>
      <c r="T305" s="7"/>
      <c r="U305" s="34"/>
      <c r="V305" s="34"/>
      <c r="W305" s="34"/>
      <c r="X305" s="34"/>
      <c r="Y305" s="34"/>
      <c r="Z305" s="34"/>
      <c r="AA305" s="34"/>
      <c r="AB305" s="34"/>
      <c r="AC305" s="34"/>
    </row>
    <row r="306" spans="2:29" s="5" customFormat="1" x14ac:dyDescent="0.25">
      <c r="B306" s="11"/>
      <c r="C306" s="11"/>
      <c r="D306" s="11"/>
      <c r="E306" s="11"/>
      <c r="F306" s="11"/>
      <c r="G306" s="11"/>
      <c r="H306" s="11"/>
      <c r="I306" s="11"/>
      <c r="J306" s="11"/>
      <c r="K306" s="11"/>
      <c r="L306" s="11"/>
      <c r="M306" s="11"/>
      <c r="N306" s="11"/>
      <c r="O306" s="11"/>
      <c r="P306" s="11"/>
      <c r="Q306" s="11"/>
      <c r="R306" s="11"/>
      <c r="S306" s="11"/>
      <c r="T306" s="11"/>
      <c r="U306" s="33"/>
      <c r="V306" s="33"/>
      <c r="W306" s="33"/>
      <c r="X306" s="33"/>
      <c r="Y306" s="33"/>
      <c r="Z306" s="33"/>
      <c r="AA306" s="33"/>
      <c r="AB306" s="33"/>
      <c r="AC306" s="33"/>
    </row>
    <row r="307" spans="2:29" s="1" customFormat="1" x14ac:dyDescent="0.25">
      <c r="B307" s="164" t="s">
        <v>5</v>
      </c>
      <c r="C307" s="164"/>
      <c r="D307" s="90" t="s">
        <v>960</v>
      </c>
      <c r="E307" s="91"/>
      <c r="F307" s="92"/>
      <c r="U307" s="34"/>
      <c r="V307" s="34"/>
      <c r="W307" s="34"/>
      <c r="X307" s="34"/>
      <c r="Y307" s="34"/>
      <c r="Z307" s="34"/>
      <c r="AA307" s="34"/>
      <c r="AB307" s="34"/>
      <c r="AC307" s="34"/>
    </row>
    <row r="308" spans="2:29" s="1" customFormat="1" x14ac:dyDescent="0.25">
      <c r="B308" s="164" t="s">
        <v>208</v>
      </c>
      <c r="C308" s="164"/>
      <c r="D308" s="90" t="s">
        <v>951</v>
      </c>
      <c r="E308" s="91"/>
      <c r="F308" s="92"/>
      <c r="U308" s="34"/>
      <c r="V308" s="34"/>
      <c r="W308" s="34"/>
      <c r="X308" s="34"/>
      <c r="Y308" s="34"/>
      <c r="Z308" s="34"/>
      <c r="AA308" s="34"/>
      <c r="AB308" s="34"/>
      <c r="AC308" s="34"/>
    </row>
    <row r="309" spans="2:29" s="1" customFormat="1" x14ac:dyDescent="0.25">
      <c r="B309" s="164" t="s">
        <v>17</v>
      </c>
      <c r="C309" s="164"/>
      <c r="D309" s="90" t="s">
        <v>83</v>
      </c>
      <c r="E309" s="91"/>
      <c r="F309" s="92"/>
      <c r="U309" s="34"/>
      <c r="V309" s="34"/>
      <c r="W309" s="34"/>
      <c r="X309" s="34"/>
      <c r="Y309" s="34"/>
      <c r="Z309" s="34"/>
      <c r="AA309" s="34"/>
      <c r="AB309" s="34"/>
      <c r="AC309" s="34"/>
    </row>
    <row r="310" spans="2:29" s="1" customFormat="1" x14ac:dyDescent="0.25">
      <c r="B310" s="164" t="s">
        <v>912</v>
      </c>
      <c r="C310" s="164"/>
      <c r="D310" s="90" t="s">
        <v>961</v>
      </c>
      <c r="E310" s="91"/>
      <c r="F310" s="92"/>
      <c r="U310" s="34"/>
      <c r="V310" s="34"/>
      <c r="W310" s="34"/>
      <c r="X310" s="34"/>
      <c r="Y310" s="34"/>
      <c r="Z310" s="34"/>
      <c r="AA310" s="34"/>
      <c r="AB310" s="34"/>
      <c r="AC310" s="34"/>
    </row>
    <row r="311" spans="2:29" s="1" customFormat="1" x14ac:dyDescent="0.25">
      <c r="B311" s="7"/>
      <c r="C311" s="7"/>
      <c r="D311" s="7"/>
      <c r="E311" s="7"/>
      <c r="F311" s="7"/>
      <c r="G311" s="7"/>
      <c r="H311" s="7"/>
      <c r="I311" s="7"/>
      <c r="J311" s="7"/>
      <c r="K311" s="7"/>
      <c r="L311" s="7"/>
      <c r="M311" s="7"/>
      <c r="N311" s="7"/>
      <c r="O311" s="7"/>
      <c r="P311" s="7"/>
      <c r="Q311" s="7"/>
      <c r="R311" s="7"/>
      <c r="S311" s="7"/>
      <c r="T311" s="7"/>
      <c r="U311" s="34"/>
      <c r="V311" s="34"/>
      <c r="W311" s="34"/>
      <c r="X311" s="34"/>
      <c r="Y311" s="34"/>
      <c r="Z311" s="34"/>
      <c r="AA311" s="34"/>
      <c r="AB311" s="34"/>
      <c r="AC311" s="34"/>
    </row>
    <row r="312" spans="2:29" s="1" customFormat="1" x14ac:dyDescent="0.25">
      <c r="B312" s="7" t="s">
        <v>915</v>
      </c>
      <c r="C312" s="7"/>
      <c r="D312" s="7"/>
      <c r="E312" s="7"/>
      <c r="F312" s="7"/>
      <c r="G312" s="7"/>
      <c r="H312" s="7"/>
      <c r="I312" s="7"/>
      <c r="J312" s="7"/>
      <c r="K312" s="7"/>
      <c r="L312" s="7"/>
      <c r="M312" s="7"/>
      <c r="N312" s="7"/>
      <c r="O312" s="7"/>
      <c r="P312" s="7"/>
      <c r="Q312" s="7"/>
      <c r="R312" s="7"/>
      <c r="S312" s="7"/>
      <c r="T312" s="7"/>
      <c r="U312" s="34"/>
      <c r="V312" s="34"/>
      <c r="W312" s="34"/>
      <c r="X312" s="34"/>
      <c r="Y312" s="34"/>
      <c r="Z312" s="34"/>
      <c r="AA312" s="34"/>
      <c r="AB312" s="34"/>
      <c r="AC312" s="34"/>
    </row>
    <row r="313" spans="2:29" s="1" customFormat="1" x14ac:dyDescent="0.25">
      <c r="B313" s="83" t="s">
        <v>22</v>
      </c>
      <c r="C313" s="78" t="s">
        <v>23</v>
      </c>
      <c r="D313" s="83" t="s">
        <v>255</v>
      </c>
      <c r="E313" s="83" t="s">
        <v>254</v>
      </c>
      <c r="F313" s="78" t="s">
        <v>68</v>
      </c>
      <c r="G313" s="78" t="s">
        <v>24</v>
      </c>
      <c r="I313" s="7"/>
      <c r="U313" s="34"/>
      <c r="V313" s="34"/>
      <c r="W313" s="34"/>
      <c r="X313" s="34"/>
      <c r="Y313" s="34"/>
      <c r="Z313" s="34"/>
      <c r="AA313" s="34"/>
      <c r="AB313" s="34"/>
      <c r="AC313" s="34"/>
    </row>
    <row r="314" spans="2:29" s="1" customFormat="1" x14ac:dyDescent="0.25">
      <c r="B314" s="83" t="s">
        <v>25</v>
      </c>
      <c r="C314" s="80">
        <v>14</v>
      </c>
      <c r="D314" s="77">
        <v>0</v>
      </c>
      <c r="E314" s="32">
        <v>0</v>
      </c>
      <c r="F314" s="24">
        <f>(C314+D314+E314+6)</f>
        <v>20</v>
      </c>
      <c r="G314" s="76">
        <f>FLOOR((F314-10)/2,1)</f>
        <v>5</v>
      </c>
      <c r="U314" s="34"/>
      <c r="V314" s="34"/>
      <c r="W314" s="34"/>
      <c r="X314" s="34"/>
      <c r="Y314" s="34"/>
      <c r="Z314" s="34"/>
      <c r="AA314" s="34"/>
      <c r="AB314" s="34"/>
      <c r="AC314" s="34"/>
    </row>
    <row r="315" spans="2:29" s="1" customFormat="1" x14ac:dyDescent="0.25">
      <c r="B315" s="83" t="s">
        <v>26</v>
      </c>
      <c r="C315" s="80">
        <v>17</v>
      </c>
      <c r="D315" s="77">
        <v>0</v>
      </c>
      <c r="E315" s="32">
        <v>0</v>
      </c>
      <c r="F315" s="24">
        <f t="shared" ref="F315" si="12">(C315+D315+E315)</f>
        <v>17</v>
      </c>
      <c r="G315" s="76">
        <f t="shared" ref="G315:G316" si="13">FLOOR((F315-10)/2,1)</f>
        <v>3</v>
      </c>
      <c r="U315" s="34"/>
      <c r="V315" s="34"/>
      <c r="W315" s="34"/>
      <c r="X315" s="34"/>
      <c r="Y315" s="34"/>
      <c r="Z315" s="34"/>
      <c r="AA315" s="34"/>
      <c r="AB315" s="34"/>
      <c r="AC315" s="34"/>
    </row>
    <row r="316" spans="2:29" s="1" customFormat="1" x14ac:dyDescent="0.25">
      <c r="B316" s="8" t="s">
        <v>27</v>
      </c>
      <c r="C316" s="80">
        <v>13</v>
      </c>
      <c r="D316" s="77">
        <v>0</v>
      </c>
      <c r="E316" s="32">
        <v>0</v>
      </c>
      <c r="F316" s="24">
        <f>(C316+D316+E316+6)</f>
        <v>19</v>
      </c>
      <c r="G316" s="76">
        <f t="shared" si="13"/>
        <v>4</v>
      </c>
      <c r="U316" s="34"/>
      <c r="V316" s="34"/>
      <c r="W316" s="34"/>
      <c r="X316" s="34"/>
      <c r="Y316" s="34"/>
      <c r="Z316" s="34"/>
      <c r="AA316" s="34"/>
      <c r="AB316" s="34"/>
      <c r="AC316" s="34"/>
    </row>
    <row r="317" spans="2:29" s="1" customFormat="1" x14ac:dyDescent="0.25">
      <c r="B317" s="7"/>
      <c r="C317" s="7"/>
      <c r="D317" s="7"/>
      <c r="E317" s="7"/>
      <c r="F317" s="7"/>
      <c r="G317" s="7"/>
      <c r="H317" s="7"/>
      <c r="I317" s="7"/>
      <c r="J317" s="7"/>
      <c r="K317" s="7"/>
      <c r="L317" s="7"/>
      <c r="M317" s="7"/>
      <c r="N317" s="7"/>
      <c r="O317" s="7"/>
      <c r="P317" s="7"/>
      <c r="Q317" s="7"/>
      <c r="R317" s="7"/>
      <c r="S317" s="7"/>
      <c r="T317" s="7"/>
      <c r="U317" s="34"/>
      <c r="V317" s="34"/>
      <c r="W317" s="34"/>
      <c r="X317" s="34"/>
      <c r="Y317" s="34"/>
      <c r="Z317" s="34"/>
      <c r="AA317" s="34"/>
      <c r="AB317" s="34"/>
      <c r="AC317" s="34"/>
    </row>
    <row r="318" spans="2:29" s="1" customFormat="1" x14ac:dyDescent="0.25">
      <c r="B318" s="7" t="s">
        <v>934</v>
      </c>
      <c r="U318" s="34"/>
      <c r="V318" s="34"/>
      <c r="W318" s="34"/>
      <c r="X318" s="34"/>
      <c r="Y318" s="34"/>
      <c r="Z318" s="34"/>
      <c r="AA318" s="34"/>
      <c r="AB318" s="34"/>
      <c r="AC318" s="34"/>
    </row>
    <row r="319" spans="2:29" s="7" customFormat="1" x14ac:dyDescent="0.25">
      <c r="B319" s="83" t="s">
        <v>31</v>
      </c>
      <c r="C319" s="25">
        <f>(F319+I319+L319+O319)</f>
        <v>9</v>
      </c>
      <c r="D319" s="111" t="s">
        <v>34</v>
      </c>
      <c r="E319" s="111"/>
      <c r="F319" s="81">
        <v>5</v>
      </c>
      <c r="G319" s="215" t="s">
        <v>935</v>
      </c>
      <c r="H319" s="216"/>
      <c r="I319" s="25">
        <f>G316</f>
        <v>4</v>
      </c>
      <c r="J319" s="111" t="s">
        <v>936</v>
      </c>
      <c r="K319" s="111"/>
      <c r="L319" s="214"/>
      <c r="M319" s="111" t="s">
        <v>937</v>
      </c>
      <c r="N319" s="111"/>
      <c r="O319" s="214"/>
      <c r="U319" s="34"/>
      <c r="V319" s="34"/>
      <c r="W319" s="34"/>
      <c r="X319" s="34"/>
      <c r="Y319" s="34"/>
      <c r="Z319" s="34"/>
      <c r="AA319" s="34"/>
      <c r="AB319" s="34"/>
      <c r="AC319" s="34"/>
    </row>
    <row r="320" spans="2:29" s="7" customFormat="1" x14ac:dyDescent="0.25">
      <c r="B320" s="78" t="s">
        <v>32</v>
      </c>
      <c r="C320" s="25">
        <f>(F320+I320+L320+O320)</f>
        <v>6</v>
      </c>
      <c r="D320" s="111" t="s">
        <v>34</v>
      </c>
      <c r="E320" s="111"/>
      <c r="F320" s="81">
        <v>3</v>
      </c>
      <c r="G320" s="164" t="s">
        <v>70</v>
      </c>
      <c r="H320" s="164"/>
      <c r="I320" s="25">
        <f>IF(G315&gt;G332,G332,G315)</f>
        <v>3</v>
      </c>
      <c r="J320" s="111" t="s">
        <v>936</v>
      </c>
      <c r="K320" s="111"/>
      <c r="L320" s="214"/>
      <c r="M320" s="111" t="s">
        <v>937</v>
      </c>
      <c r="N320" s="111"/>
      <c r="O320" s="214"/>
      <c r="U320" s="34"/>
      <c r="V320" s="34"/>
      <c r="W320" s="34"/>
      <c r="X320" s="34"/>
      <c r="Y320" s="34"/>
      <c r="Z320" s="34"/>
      <c r="AA320" s="34"/>
      <c r="AB320" s="34"/>
      <c r="AC320" s="34"/>
    </row>
    <row r="321" spans="1:29" s="7" customFormat="1" x14ac:dyDescent="0.25">
      <c r="B321" s="78" t="s">
        <v>33</v>
      </c>
      <c r="C321" s="25">
        <f>(F321+I321+L321+O321)</f>
        <v>5</v>
      </c>
      <c r="D321" s="111" t="s">
        <v>34</v>
      </c>
      <c r="E321" s="111"/>
      <c r="F321" s="81">
        <v>1</v>
      </c>
      <c r="G321" s="164" t="s">
        <v>935</v>
      </c>
      <c r="H321" s="164"/>
      <c r="I321" s="25">
        <f>G316</f>
        <v>4</v>
      </c>
      <c r="J321" s="111" t="s">
        <v>936</v>
      </c>
      <c r="K321" s="111"/>
      <c r="L321" s="214"/>
      <c r="M321" s="111" t="s">
        <v>937</v>
      </c>
      <c r="N321" s="111"/>
      <c r="O321" s="214"/>
      <c r="U321" s="34"/>
      <c r="V321" s="34"/>
      <c r="W321" s="34"/>
      <c r="X321" s="34"/>
      <c r="Y321" s="34"/>
      <c r="Z321" s="34"/>
      <c r="AA321" s="34"/>
      <c r="AB321" s="34"/>
      <c r="AC321" s="34"/>
    </row>
    <row r="322" spans="1:29" s="1" customFormat="1" x14ac:dyDescent="0.25">
      <c r="U322" s="34"/>
      <c r="V322" s="34"/>
      <c r="W322" s="34"/>
      <c r="X322" s="34"/>
      <c r="Y322" s="34"/>
      <c r="Z322" s="34"/>
      <c r="AA322" s="34"/>
      <c r="AB322" s="34"/>
      <c r="AC322" s="34"/>
    </row>
    <row r="323" spans="1:29" s="1" customFormat="1" x14ac:dyDescent="0.25">
      <c r="B323" s="7" t="s">
        <v>916</v>
      </c>
      <c r="C323" s="7"/>
      <c r="D323" s="7"/>
      <c r="E323" s="7"/>
      <c r="F323" s="7"/>
      <c r="G323" s="7"/>
      <c r="H323" s="7"/>
      <c r="I323" s="7"/>
      <c r="J323" s="7"/>
      <c r="K323" s="7"/>
      <c r="L323" s="7"/>
      <c r="M323" s="7"/>
      <c r="N323" s="7"/>
      <c r="O323" s="7"/>
      <c r="P323" s="7"/>
      <c r="Q323" s="7"/>
      <c r="R323" s="7"/>
      <c r="S323" s="7"/>
      <c r="T323" s="7"/>
      <c r="U323" s="34"/>
      <c r="V323" s="34"/>
      <c r="W323" s="34"/>
      <c r="X323" s="34"/>
      <c r="Y323" s="34"/>
      <c r="Z323" s="34"/>
      <c r="AA323" s="34"/>
      <c r="AB323" s="34"/>
      <c r="AC323" s="34"/>
    </row>
    <row r="324" spans="1:29" s="1" customFormat="1" x14ac:dyDescent="0.25">
      <c r="A324" s="7"/>
      <c r="B324" s="85" t="s">
        <v>74</v>
      </c>
      <c r="C324" s="85"/>
      <c r="D324" s="27">
        <f>(G315+J324)</f>
        <v>3</v>
      </c>
      <c r="E324" s="85" t="s">
        <v>70</v>
      </c>
      <c r="F324" s="85"/>
      <c r="G324" s="27">
        <f>IF(G315&gt;G332,G332,G315)</f>
        <v>3</v>
      </c>
      <c r="H324" s="85" t="s">
        <v>39</v>
      </c>
      <c r="I324" s="85"/>
      <c r="J324" s="203"/>
      <c r="K324" s="7"/>
      <c r="L324" s="7"/>
      <c r="M324" s="7"/>
      <c r="N324" s="7"/>
      <c r="O324" s="7"/>
      <c r="P324" s="7"/>
      <c r="Q324" s="7"/>
      <c r="R324" s="7"/>
      <c r="S324" s="7"/>
      <c r="T324" s="7"/>
      <c r="U324" s="34"/>
      <c r="V324" s="34"/>
      <c r="W324" s="34"/>
      <c r="X324" s="34"/>
      <c r="Y324" s="34"/>
      <c r="Z324" s="34"/>
      <c r="AA324" s="34"/>
      <c r="AB324" s="34"/>
      <c r="AC324" s="34"/>
    </row>
    <row r="325" spans="1:29" s="1" customFormat="1" x14ac:dyDescent="0.25">
      <c r="A325" s="7"/>
      <c r="B325" s="7"/>
      <c r="C325" s="7"/>
      <c r="D325" s="34"/>
      <c r="E325" s="7"/>
      <c r="F325" s="7"/>
      <c r="G325" s="34"/>
      <c r="H325" s="7"/>
      <c r="I325" s="7"/>
      <c r="J325" s="7"/>
      <c r="K325" s="7"/>
      <c r="L325" s="7"/>
      <c r="M325" s="7"/>
      <c r="N325" s="7"/>
      <c r="O325" s="7"/>
      <c r="P325" s="7"/>
      <c r="Q325" s="7"/>
      <c r="R325" s="7"/>
      <c r="S325" s="7"/>
      <c r="T325" s="7"/>
      <c r="U325" s="34"/>
      <c r="V325" s="34"/>
      <c r="W325" s="34"/>
      <c r="X325" s="34"/>
      <c r="Y325" s="34"/>
      <c r="Z325" s="34"/>
      <c r="AA325" s="34"/>
      <c r="AB325" s="34"/>
      <c r="AC325" s="34"/>
    </row>
    <row r="326" spans="1:29" s="1" customFormat="1" x14ac:dyDescent="0.25">
      <c r="A326" s="7"/>
      <c r="B326" s="131" t="s">
        <v>75</v>
      </c>
      <c r="C326" s="133"/>
      <c r="D326" s="29">
        <f>(G326+J326+M326+P326)</f>
        <v>8</v>
      </c>
      <c r="E326" s="131" t="s">
        <v>71</v>
      </c>
      <c r="F326" s="133"/>
      <c r="G326" s="27">
        <v>3</v>
      </c>
      <c r="H326" s="131" t="s">
        <v>72</v>
      </c>
      <c r="I326" s="133"/>
      <c r="J326" s="29">
        <f>G314</f>
        <v>5</v>
      </c>
      <c r="K326" s="131" t="s">
        <v>73</v>
      </c>
      <c r="L326" s="133"/>
      <c r="M326" s="29">
        <f>VLOOKUP(D309,SizeTable,2,FALSE)</f>
        <v>0</v>
      </c>
      <c r="N326" s="131" t="s">
        <v>39</v>
      </c>
      <c r="O326" s="133"/>
      <c r="P326" s="27"/>
      <c r="Q326" s="7"/>
      <c r="R326" s="7"/>
      <c r="S326" s="7"/>
      <c r="T326" s="7"/>
      <c r="U326" s="34"/>
      <c r="V326" s="34"/>
      <c r="W326" s="34"/>
      <c r="X326" s="34"/>
      <c r="Y326" s="34"/>
      <c r="Z326" s="34"/>
      <c r="AA326" s="34"/>
      <c r="AB326" s="34"/>
      <c r="AC326" s="34"/>
    </row>
    <row r="327" spans="1:29" s="1" customFormat="1" x14ac:dyDescent="0.25">
      <c r="A327" s="7"/>
      <c r="B327" s="131" t="s">
        <v>76</v>
      </c>
      <c r="C327" s="133"/>
      <c r="D327" s="29">
        <f>(G327+J327+M327+P327)</f>
        <v>4</v>
      </c>
      <c r="E327" s="131" t="s">
        <v>71</v>
      </c>
      <c r="F327" s="133"/>
      <c r="G327" s="29">
        <f>G326</f>
        <v>3</v>
      </c>
      <c r="H327" s="131" t="s">
        <v>36</v>
      </c>
      <c r="I327" s="133"/>
      <c r="J327" s="29">
        <f>IF(G315&gt;G332,G332,G315)</f>
        <v>3</v>
      </c>
      <c r="K327" s="131" t="s">
        <v>73</v>
      </c>
      <c r="L327" s="133"/>
      <c r="M327" s="29">
        <f>VLOOKUP(D309,SizeTable,2,FALSE)</f>
        <v>0</v>
      </c>
      <c r="N327" s="131" t="s">
        <v>39</v>
      </c>
      <c r="O327" s="133"/>
      <c r="P327" s="27">
        <v>-2</v>
      </c>
      <c r="Q327" s="7"/>
      <c r="R327" s="7"/>
      <c r="S327" s="7"/>
      <c r="T327" s="7"/>
      <c r="U327" s="34"/>
      <c r="V327" s="34"/>
      <c r="W327" s="34"/>
      <c r="X327" s="34"/>
      <c r="Y327" s="34"/>
      <c r="Z327" s="34"/>
      <c r="AA327" s="34"/>
      <c r="AB327" s="34"/>
      <c r="AC327" s="34"/>
    </row>
    <row r="328" spans="1:29" s="1" customFormat="1" x14ac:dyDescent="0.25">
      <c r="A328" s="7"/>
      <c r="B328" s="131" t="s">
        <v>77</v>
      </c>
      <c r="C328" s="133"/>
      <c r="D328" s="29">
        <f>(G328+J328+M328+P328)</f>
        <v>8</v>
      </c>
      <c r="E328" s="131" t="s">
        <v>71</v>
      </c>
      <c r="F328" s="133"/>
      <c r="G328" s="29">
        <f>G327</f>
        <v>3</v>
      </c>
      <c r="H328" s="131" t="s">
        <v>72</v>
      </c>
      <c r="I328" s="133"/>
      <c r="J328" s="29">
        <f>G314</f>
        <v>5</v>
      </c>
      <c r="K328" s="131" t="s">
        <v>73</v>
      </c>
      <c r="L328" s="133"/>
      <c r="M328" s="29">
        <f>LOOKUP(VLOOKUP(D309,SizeTable,2,FALSE), {-8,-4,-2,-1,0,1,2,4,8},{16,12,8,4,0,-4,-8,-12,-16})</f>
        <v>0</v>
      </c>
      <c r="N328" s="131" t="s">
        <v>39</v>
      </c>
      <c r="O328" s="133"/>
      <c r="P328" s="27"/>
      <c r="Q328" s="7"/>
      <c r="R328" s="7"/>
      <c r="S328" s="7"/>
      <c r="T328" s="7"/>
      <c r="U328" s="34"/>
      <c r="V328" s="34"/>
      <c r="W328" s="34"/>
      <c r="X328" s="34"/>
      <c r="Y328" s="34"/>
      <c r="Z328" s="34"/>
      <c r="AA328" s="34"/>
      <c r="AB328" s="34"/>
      <c r="AC328" s="34"/>
    </row>
    <row r="329" spans="1:29" s="1" customFormat="1" x14ac:dyDescent="0.25">
      <c r="A329" s="7"/>
      <c r="B329" s="7"/>
      <c r="C329" s="7"/>
      <c r="D329" s="34"/>
      <c r="E329" s="7"/>
      <c r="F329" s="7"/>
      <c r="G329" s="34"/>
      <c r="H329" s="7"/>
      <c r="I329" s="7"/>
      <c r="J329" s="34"/>
      <c r="K329" s="7"/>
      <c r="L329" s="7"/>
      <c r="M329" s="34"/>
      <c r="N329" s="7"/>
      <c r="O329" s="7"/>
      <c r="P329" s="34"/>
      <c r="Q329" s="7"/>
      <c r="R329" s="7"/>
      <c r="S329" s="7"/>
      <c r="T329" s="7"/>
      <c r="U329" s="34"/>
      <c r="V329" s="34"/>
      <c r="W329" s="34"/>
      <c r="X329" s="34"/>
      <c r="Y329" s="34"/>
      <c r="Z329" s="34"/>
      <c r="AA329" s="34"/>
      <c r="AB329" s="34"/>
      <c r="AC329" s="34"/>
    </row>
    <row r="330" spans="1:29" s="1" customFormat="1" x14ac:dyDescent="0.25">
      <c r="A330" s="7"/>
      <c r="B330" s="85" t="s">
        <v>10</v>
      </c>
      <c r="C330" s="85"/>
      <c r="D330" s="29">
        <f>(10+G330+J330+M330+P330+J331+M331+P331+M332)</f>
        <v>21</v>
      </c>
      <c r="E330" s="85" t="s">
        <v>78</v>
      </c>
      <c r="F330" s="85"/>
      <c r="G330" s="29">
        <v>5</v>
      </c>
      <c r="H330" s="85" t="s">
        <v>36</v>
      </c>
      <c r="I330" s="85"/>
      <c r="J330" s="29">
        <f>IF(G315&gt;G332,G332,G315)</f>
        <v>3</v>
      </c>
      <c r="K330" s="85" t="s">
        <v>73</v>
      </c>
      <c r="L330" s="85"/>
      <c r="M330" s="29">
        <f>VLOOKUP(D309,SizeTable,2,FALSE)</f>
        <v>0</v>
      </c>
      <c r="N330" s="85" t="s">
        <v>79</v>
      </c>
      <c r="O330" s="85"/>
      <c r="P330" s="27">
        <v>1</v>
      </c>
      <c r="Q330" s="7"/>
      <c r="R330" s="7"/>
      <c r="S330" s="7"/>
      <c r="T330" s="7"/>
      <c r="U330" s="34"/>
      <c r="V330" s="34"/>
      <c r="W330" s="34"/>
      <c r="X330" s="34"/>
      <c r="Y330" s="34"/>
      <c r="Z330" s="34"/>
      <c r="AA330" s="34"/>
      <c r="AB330" s="34"/>
      <c r="AC330" s="34"/>
    </row>
    <row r="331" spans="1:29" s="1" customFormat="1" x14ac:dyDescent="0.25">
      <c r="A331" s="7"/>
      <c r="B331" s="131" t="s">
        <v>82</v>
      </c>
      <c r="C331" s="133"/>
      <c r="D331" s="29">
        <f>(10+J330+M330+J331+P331+M332)</f>
        <v>13</v>
      </c>
      <c r="E331" s="94" t="s">
        <v>177</v>
      </c>
      <c r="F331" s="96"/>
      <c r="G331" s="29">
        <f>(10+G330+M330+P330+J331+M331+P331)</f>
        <v>18</v>
      </c>
      <c r="H331" s="149" t="s">
        <v>81</v>
      </c>
      <c r="I331" s="150"/>
      <c r="J331" s="27">
        <v>0</v>
      </c>
      <c r="K331" s="85" t="s">
        <v>80</v>
      </c>
      <c r="L331" s="85"/>
      <c r="M331" s="27">
        <v>2</v>
      </c>
      <c r="N331" s="85" t="s">
        <v>39</v>
      </c>
      <c r="O331" s="85"/>
      <c r="P331" s="27">
        <v>0</v>
      </c>
      <c r="Q331" s="7"/>
      <c r="R331" s="7"/>
      <c r="S331" s="7"/>
      <c r="T331" s="7"/>
      <c r="U331" s="34"/>
      <c r="V331" s="34"/>
      <c r="W331" s="34"/>
      <c r="X331" s="34"/>
      <c r="Y331" s="34"/>
      <c r="Z331" s="34"/>
      <c r="AA331" s="34"/>
      <c r="AB331" s="34"/>
      <c r="AC331" s="34"/>
    </row>
    <row r="332" spans="1:29" s="1" customFormat="1" x14ac:dyDescent="0.25">
      <c r="A332" s="7"/>
      <c r="B332" s="189" t="s">
        <v>14</v>
      </c>
      <c r="C332" s="189"/>
      <c r="D332" s="79">
        <f>IF((SUM(N188:N191)+SUM(N195:N197))&gt;R314,R314,(SUM(N188:N191)+SUM(N195:N197)))</f>
        <v>0</v>
      </c>
      <c r="E332" s="131" t="s">
        <v>15</v>
      </c>
      <c r="F332" s="133"/>
      <c r="G332" s="29">
        <v>4</v>
      </c>
      <c r="H332" s="149" t="s">
        <v>16</v>
      </c>
      <c r="I332" s="150"/>
      <c r="J332" s="30">
        <v>0.3</v>
      </c>
      <c r="K332" s="131" t="s">
        <v>84</v>
      </c>
      <c r="L332" s="133"/>
      <c r="M332" s="27">
        <v>0</v>
      </c>
      <c r="N332" s="7"/>
      <c r="O332" s="7"/>
      <c r="P332" s="7"/>
      <c r="Q332" s="7"/>
      <c r="R332" s="7"/>
      <c r="S332" s="7"/>
      <c r="T332" s="7"/>
      <c r="U332" s="34"/>
      <c r="V332" s="34"/>
      <c r="W332" s="34"/>
      <c r="X332" s="34"/>
      <c r="Y332" s="34"/>
      <c r="Z332" s="34"/>
      <c r="AA332" s="34"/>
      <c r="AB332" s="34"/>
      <c r="AC332" s="34"/>
    </row>
    <row r="333" spans="1:29" s="1" customFormat="1" x14ac:dyDescent="0.25">
      <c r="A333" s="7"/>
      <c r="B333" s="105" t="s">
        <v>243</v>
      </c>
      <c r="C333" s="107"/>
      <c r="D333" s="207"/>
      <c r="E333" s="208"/>
      <c r="F333" s="208"/>
      <c r="G333" s="208"/>
      <c r="H333" s="208"/>
      <c r="I333" s="208"/>
      <c r="J333" s="208"/>
      <c r="K333" s="208"/>
      <c r="L333" s="208"/>
      <c r="M333" s="208"/>
      <c r="N333" s="208"/>
      <c r="O333" s="208"/>
      <c r="P333" s="209"/>
      <c r="Q333" s="7"/>
      <c r="R333" s="7"/>
      <c r="S333" s="7"/>
      <c r="T333" s="7"/>
      <c r="U333" s="34"/>
      <c r="V333" s="34"/>
      <c r="W333" s="34"/>
      <c r="X333" s="34"/>
      <c r="Y333" s="34"/>
      <c r="Z333" s="34"/>
      <c r="AA333" s="34"/>
      <c r="AB333" s="34"/>
      <c r="AC333" s="34"/>
    </row>
    <row r="334" spans="1:29" s="1" customFormat="1" x14ac:dyDescent="0.25">
      <c r="A334" s="7"/>
      <c r="B334" s="7"/>
      <c r="C334" s="7"/>
      <c r="D334" s="7"/>
      <c r="E334" s="7"/>
      <c r="F334" s="7"/>
      <c r="G334" s="7"/>
      <c r="H334" s="7"/>
      <c r="I334" s="7"/>
      <c r="J334" s="7"/>
      <c r="K334" s="7"/>
      <c r="L334" s="7"/>
      <c r="M334" s="7"/>
      <c r="N334" s="7"/>
      <c r="O334" s="7"/>
      <c r="P334" s="7"/>
      <c r="Q334" s="7"/>
      <c r="R334" s="7"/>
      <c r="S334" s="7"/>
      <c r="T334" s="7"/>
      <c r="U334" s="34"/>
      <c r="V334" s="34"/>
      <c r="W334" s="34"/>
      <c r="X334" s="34"/>
      <c r="Y334" s="34"/>
      <c r="Z334" s="34"/>
      <c r="AA334" s="34"/>
      <c r="AB334" s="34"/>
      <c r="AC334" s="34"/>
    </row>
    <row r="335" spans="1:29" s="1" customFormat="1" x14ac:dyDescent="0.25">
      <c r="A335" s="7"/>
      <c r="B335" s="85" t="s">
        <v>85</v>
      </c>
      <c r="C335" s="85"/>
      <c r="D335" s="97" t="s">
        <v>905</v>
      </c>
      <c r="E335" s="148"/>
      <c r="F335" s="98"/>
      <c r="G335" s="85" t="s">
        <v>86</v>
      </c>
      <c r="H335" s="85"/>
      <c r="I335" s="27">
        <f>D326</f>
        <v>8</v>
      </c>
      <c r="J335" s="82" t="s">
        <v>87</v>
      </c>
      <c r="K335" s="27" t="str">
        <f>"2d6+"&amp;FLOOR(G314*1.5,1)</f>
        <v>2d6+7</v>
      </c>
      <c r="L335" s="82" t="s">
        <v>88</v>
      </c>
      <c r="M335" s="27" t="s">
        <v>962</v>
      </c>
      <c r="N335" s="7"/>
      <c r="O335" s="7"/>
      <c r="P335" s="7"/>
      <c r="Q335" s="7"/>
      <c r="R335" s="7"/>
      <c r="S335" s="7"/>
      <c r="T335" s="7"/>
      <c r="U335" s="34"/>
      <c r="V335" s="34"/>
      <c r="W335" s="34"/>
      <c r="X335" s="34"/>
      <c r="Y335" s="34"/>
      <c r="Z335" s="34"/>
      <c r="AA335" s="34"/>
      <c r="AB335" s="34"/>
      <c r="AC335" s="34"/>
    </row>
    <row r="336" spans="1:29" s="1" customFormat="1" x14ac:dyDescent="0.25">
      <c r="A336" s="7"/>
      <c r="B336" s="85" t="s">
        <v>85</v>
      </c>
      <c r="C336" s="85"/>
      <c r="D336" s="97" t="s">
        <v>963</v>
      </c>
      <c r="E336" s="148"/>
      <c r="F336" s="98"/>
      <c r="G336" s="85" t="s">
        <v>86</v>
      </c>
      <c r="H336" s="85"/>
      <c r="I336" s="27">
        <f>D326</f>
        <v>8</v>
      </c>
      <c r="J336" s="82" t="s">
        <v>87</v>
      </c>
      <c r="K336" s="27" t="str">
        <f>"1d8+"&amp;G314</f>
        <v>1d8+5</v>
      </c>
      <c r="L336" s="82" t="s">
        <v>88</v>
      </c>
      <c r="M336" s="27" t="s">
        <v>962</v>
      </c>
      <c r="N336" s="7"/>
      <c r="O336" s="7"/>
      <c r="P336" s="7"/>
      <c r="Q336" s="7"/>
      <c r="R336" s="7"/>
      <c r="S336" s="7"/>
      <c r="T336" s="7"/>
      <c r="U336" s="34"/>
      <c r="V336" s="34"/>
      <c r="W336" s="34"/>
      <c r="X336" s="34"/>
      <c r="Y336" s="34"/>
      <c r="Z336" s="34"/>
      <c r="AA336" s="34"/>
      <c r="AB336" s="34"/>
      <c r="AC336" s="34"/>
    </row>
    <row r="337" spans="1:29" s="1" customFormat="1" x14ac:dyDescent="0.25">
      <c r="A337" s="7"/>
      <c r="B337" s="85" t="s">
        <v>85</v>
      </c>
      <c r="C337" s="85"/>
      <c r="D337" s="97" t="s">
        <v>964</v>
      </c>
      <c r="E337" s="148"/>
      <c r="F337" s="98"/>
      <c r="G337" s="85" t="s">
        <v>86</v>
      </c>
      <c r="H337" s="85"/>
      <c r="I337" s="27">
        <f>D326</f>
        <v>8</v>
      </c>
      <c r="J337" s="82" t="s">
        <v>87</v>
      </c>
      <c r="K337" s="27" t="str">
        <f>"1d8+"&amp;FLOOR(G314*1.5,1)</f>
        <v>1d8+7</v>
      </c>
      <c r="L337" s="82" t="s">
        <v>88</v>
      </c>
      <c r="M337" s="27" t="s">
        <v>962</v>
      </c>
      <c r="N337" s="7"/>
      <c r="O337" s="7"/>
      <c r="P337" s="7"/>
      <c r="Q337" s="7"/>
      <c r="R337" s="7"/>
      <c r="S337" s="7"/>
      <c r="T337" s="7"/>
      <c r="U337" s="34"/>
      <c r="V337" s="34"/>
      <c r="W337" s="34"/>
      <c r="X337" s="34"/>
      <c r="Y337" s="34"/>
      <c r="Z337" s="34"/>
      <c r="AA337" s="34"/>
      <c r="AB337" s="34"/>
      <c r="AC337" s="34"/>
    </row>
    <row r="338" spans="1:29" s="1" customFormat="1" x14ac:dyDescent="0.25">
      <c r="A338" s="7"/>
      <c r="B338" s="85" t="s">
        <v>85</v>
      </c>
      <c r="C338" s="85"/>
      <c r="D338" s="97" t="s">
        <v>836</v>
      </c>
      <c r="E338" s="148"/>
      <c r="F338" s="98"/>
      <c r="G338" s="85" t="s">
        <v>86</v>
      </c>
      <c r="H338" s="85"/>
      <c r="I338" s="27">
        <f>D326</f>
        <v>8</v>
      </c>
      <c r="J338" s="82" t="s">
        <v>87</v>
      </c>
      <c r="K338" s="27" t="str">
        <f>"2d4+"&amp;FLOOR(G314*1.5,1)</f>
        <v>2d4+7</v>
      </c>
      <c r="L338" s="82" t="s">
        <v>88</v>
      </c>
      <c r="M338" s="27" t="s">
        <v>965</v>
      </c>
      <c r="N338" s="7"/>
      <c r="O338" s="7"/>
      <c r="P338" s="7"/>
      <c r="Q338" s="7"/>
      <c r="R338" s="7"/>
      <c r="S338" s="7"/>
      <c r="T338" s="7"/>
      <c r="U338" s="34"/>
      <c r="V338" s="34"/>
      <c r="W338" s="34"/>
      <c r="X338" s="34"/>
      <c r="Y338" s="34"/>
      <c r="Z338" s="34"/>
      <c r="AA338" s="34"/>
      <c r="AB338" s="34"/>
      <c r="AC338" s="34"/>
    </row>
    <row r="339" spans="1:29" s="1" customFormat="1" x14ac:dyDescent="0.25">
      <c r="A339" s="7"/>
      <c r="B339" s="85" t="s">
        <v>90</v>
      </c>
      <c r="C339" s="85"/>
      <c r="D339" s="97" t="s">
        <v>907</v>
      </c>
      <c r="E339" s="148"/>
      <c r="F339" s="98"/>
      <c r="G339" s="85" t="s">
        <v>86</v>
      </c>
      <c r="H339" s="85"/>
      <c r="I339" s="27">
        <f>D327</f>
        <v>4</v>
      </c>
      <c r="J339" s="82" t="s">
        <v>87</v>
      </c>
      <c r="K339" s="27" t="s">
        <v>802</v>
      </c>
      <c r="L339" s="82" t="s">
        <v>88</v>
      </c>
      <c r="M339" s="27" t="s">
        <v>962</v>
      </c>
      <c r="N339" s="85" t="s">
        <v>89</v>
      </c>
      <c r="O339" s="85"/>
      <c r="P339" s="27" t="s">
        <v>966</v>
      </c>
      <c r="Q339" s="7"/>
      <c r="R339" s="7"/>
      <c r="S339" s="7"/>
      <c r="T339" s="7"/>
      <c r="U339" s="34"/>
      <c r="V339" s="34"/>
      <c r="W339" s="34"/>
      <c r="X339" s="34"/>
      <c r="Y339" s="34"/>
      <c r="Z339" s="34"/>
      <c r="AA339" s="34"/>
      <c r="AB339" s="34"/>
      <c r="AC339" s="34"/>
    </row>
    <row r="340" spans="1:29" s="1" customFormat="1" x14ac:dyDescent="0.25">
      <c r="B340" s="7"/>
      <c r="C340" s="7"/>
      <c r="D340" s="7"/>
      <c r="E340" s="7"/>
      <c r="F340" s="7"/>
      <c r="G340" s="7"/>
      <c r="H340" s="7"/>
      <c r="I340" s="7"/>
      <c r="J340" s="7"/>
      <c r="K340" s="7"/>
      <c r="L340" s="7"/>
      <c r="M340" s="7"/>
      <c r="N340" s="7"/>
      <c r="O340" s="7"/>
      <c r="P340" s="7"/>
      <c r="Q340" s="7"/>
      <c r="R340" s="7"/>
      <c r="S340" s="7"/>
      <c r="T340" s="7"/>
      <c r="U340" s="34"/>
      <c r="V340" s="34"/>
      <c r="W340" s="34"/>
      <c r="X340" s="34"/>
      <c r="Y340" s="34"/>
      <c r="Z340" s="34"/>
      <c r="AA340" s="34"/>
      <c r="AB340" s="34"/>
      <c r="AC340" s="34"/>
    </row>
    <row r="341" spans="1:29" s="1" customFormat="1" x14ac:dyDescent="0.25">
      <c r="B341" s="7" t="s">
        <v>938</v>
      </c>
      <c r="C341" s="7"/>
      <c r="D341" s="7"/>
      <c r="E341" s="7"/>
      <c r="F341" s="7"/>
      <c r="G341" s="7"/>
      <c r="H341" s="7"/>
      <c r="I341" s="7"/>
      <c r="J341" s="7"/>
      <c r="K341" s="7"/>
      <c r="L341" s="7"/>
      <c r="M341" s="7"/>
      <c r="N341" s="7"/>
      <c r="O341" s="7"/>
      <c r="P341" s="7"/>
      <c r="Q341" s="7"/>
      <c r="R341" s="7"/>
      <c r="S341" s="7"/>
      <c r="T341" s="7"/>
      <c r="U341" s="34"/>
      <c r="V341" s="34"/>
      <c r="W341" s="34"/>
      <c r="X341" s="34"/>
      <c r="Y341" s="34"/>
      <c r="Z341" s="34"/>
      <c r="AA341" s="34"/>
      <c r="AB341" s="34"/>
      <c r="AC341" s="34"/>
    </row>
    <row r="342" spans="1:29" s="7" customFormat="1" x14ac:dyDescent="0.25">
      <c r="B342" s="111" t="s">
        <v>62</v>
      </c>
      <c r="C342" s="111"/>
      <c r="D342" s="111"/>
      <c r="E342" s="111" t="s">
        <v>63</v>
      </c>
      <c r="F342" s="111"/>
      <c r="G342" s="111"/>
      <c r="H342" s="111" t="s">
        <v>64</v>
      </c>
      <c r="I342" s="111"/>
      <c r="J342" s="111"/>
      <c r="K342" s="111" t="s">
        <v>65</v>
      </c>
      <c r="L342" s="111"/>
      <c r="M342" s="111" t="s">
        <v>60</v>
      </c>
      <c r="N342" s="111"/>
      <c r="O342" s="111"/>
      <c r="P342" s="111" t="s">
        <v>61</v>
      </c>
      <c r="Q342" s="111"/>
      <c r="U342" s="34"/>
      <c r="V342" s="34"/>
      <c r="W342" s="34"/>
      <c r="X342" s="34"/>
      <c r="Y342" s="34"/>
      <c r="Z342" s="34"/>
      <c r="AA342" s="34"/>
      <c r="AB342" s="34"/>
      <c r="AC342" s="34"/>
    </row>
    <row r="343" spans="1:29" s="1" customFormat="1" x14ac:dyDescent="0.25">
      <c r="B343" s="154">
        <f>LOOKUP(F314, {1,2,3,4,5,6,7,8,9,10,11,12,13,14,15,16,17,18,19,20,21,22,23,24,25,26,27,28,29,30,31,32,33,34,35,36,37,38,39,40}, {3,6,10,13,16,20,23,26,30,33,38,43,50,58,66,76,86,100,116,133,153,173,200,233,266,306,346,400,466,532,612,692,800,932,1064,1224,1384,1600,1864,2128})</f>
        <v>133</v>
      </c>
      <c r="C343" s="154"/>
      <c r="D343" s="154"/>
      <c r="E343" s="154">
        <f>LOOKUP(F314, {1,2,3,4,5,6,7,8,9,10,11,12,13,14,15,16,17,18,19,20,21,22,23,24,25,26,27,28,29,30,31,32,33,34,35,36,37,38,39,40}, {6,13,20,26,33,40,46,53,60,66,76,86,100,116,133,153,173,200,233,266,306,346,400,466,533,613,693,800,933,1064,1224,1384,1600,1864,2132,2452,2772,3200,3732,4256})</f>
        <v>266</v>
      </c>
      <c r="F343" s="154"/>
      <c r="G343" s="154"/>
      <c r="H343" s="154">
        <f>LOOKUP(F314, {1,2,3,4,5,6,7,8,9,10,11,12,13,14,15,16,17,18,19,20,21,22,23,24,25,26,27,28,29,30,31,32,33,34,35,36,37,38,39,40}, {10,20,30,40,50,60,70,80,90,100,115,130,150,175,200,230,260,300,350,400,460,520,600,700,800,920,1040,1200,1400,1600,1840,2080,2400,2800,3200,3680,4160,4800,5600,6400})</f>
        <v>400</v>
      </c>
      <c r="I343" s="154"/>
      <c r="J343" s="154"/>
      <c r="K343" s="154">
        <v>0</v>
      </c>
      <c r="L343" s="154"/>
      <c r="M343" s="188">
        <v>30</v>
      </c>
      <c r="N343" s="188"/>
      <c r="O343" s="188"/>
      <c r="P343" s="154">
        <f>IF(M343&gt;=30,M343-(IF(B343&gt;=K343,0,10)),M343-(IF(B343&gt;=K343,0,5)))</f>
        <v>30</v>
      </c>
      <c r="Q343" s="154"/>
      <c r="R343" s="17">
        <f>IF(AND(K343&gt;B343,K343&lt;=E343),-3,IF(AND(K343&gt;E343,K343&lt;=H343),-6,0))</f>
        <v>0</v>
      </c>
      <c r="U343" s="34"/>
      <c r="V343" s="34"/>
      <c r="W343" s="34"/>
      <c r="X343" s="34"/>
      <c r="Y343" s="34"/>
      <c r="Z343" s="34"/>
      <c r="AA343" s="34"/>
      <c r="AB343" s="34"/>
      <c r="AC343" s="34"/>
    </row>
    <row r="344" spans="1:29" s="1" customFormat="1" x14ac:dyDescent="0.25">
      <c r="B344" s="7"/>
      <c r="C344" s="7"/>
      <c r="D344" s="7"/>
      <c r="E344" s="7"/>
      <c r="F344" s="7"/>
      <c r="G344" s="7"/>
      <c r="H344" s="7"/>
      <c r="I344" s="7"/>
      <c r="J344" s="7"/>
      <c r="K344" s="7"/>
      <c r="L344" s="7"/>
      <c r="M344" s="7"/>
      <c r="N344" s="7"/>
      <c r="O344" s="7"/>
      <c r="P344" s="7"/>
      <c r="Q344" s="7"/>
      <c r="R344" s="7"/>
      <c r="S344" s="7"/>
      <c r="T344" s="7"/>
      <c r="U344" s="34"/>
      <c r="V344" s="34"/>
      <c r="W344" s="34"/>
      <c r="X344" s="34"/>
      <c r="Y344" s="34"/>
      <c r="Z344" s="34"/>
      <c r="AA344" s="34"/>
      <c r="AB344" s="34"/>
      <c r="AC344" s="34"/>
    </row>
    <row r="345" spans="1:29" s="7" customFormat="1" x14ac:dyDescent="0.25">
      <c r="B345" s="7" t="s">
        <v>92</v>
      </c>
      <c r="U345" s="34"/>
      <c r="V345" s="34"/>
      <c r="W345" s="34"/>
      <c r="X345" s="34"/>
      <c r="Y345" s="34"/>
      <c r="Z345" s="34"/>
      <c r="AA345" s="34"/>
      <c r="AB345" s="34"/>
      <c r="AC345" s="34"/>
    </row>
    <row r="346" spans="1:29" s="7" customFormat="1" ht="15" customHeight="1" x14ac:dyDescent="0.25">
      <c r="B346" s="139" t="s">
        <v>22</v>
      </c>
      <c r="C346" s="140"/>
      <c r="D346" s="140"/>
      <c r="E346" s="141"/>
      <c r="F346" s="139" t="s">
        <v>93</v>
      </c>
      <c r="G346" s="140"/>
      <c r="H346" s="140"/>
      <c r="I346" s="140"/>
      <c r="J346" s="140"/>
      <c r="K346" s="140"/>
      <c r="L346" s="140"/>
      <c r="M346" s="140"/>
      <c r="N346" s="140"/>
      <c r="O346" s="140"/>
      <c r="P346" s="141"/>
      <c r="Q346" s="139" t="s">
        <v>42</v>
      </c>
      <c r="R346" s="140"/>
      <c r="S346" s="141"/>
      <c r="U346" s="34"/>
      <c r="V346" s="34"/>
      <c r="W346" s="34"/>
      <c r="X346" s="34"/>
      <c r="Y346" s="34"/>
      <c r="Z346" s="34"/>
      <c r="AA346" s="34"/>
      <c r="AB346" s="34"/>
      <c r="AC346" s="34"/>
    </row>
    <row r="347" spans="1:29" s="7" customFormat="1" x14ac:dyDescent="0.25">
      <c r="B347" s="90" t="s">
        <v>954</v>
      </c>
      <c r="C347" s="91"/>
      <c r="D347" s="91"/>
      <c r="E347" s="92"/>
      <c r="F347" s="90" t="s">
        <v>967</v>
      </c>
      <c r="G347" s="91"/>
      <c r="H347" s="91"/>
      <c r="I347" s="91"/>
      <c r="J347" s="91"/>
      <c r="K347" s="91"/>
      <c r="L347" s="91"/>
      <c r="M347" s="91"/>
      <c r="N347" s="91"/>
      <c r="O347" s="91"/>
      <c r="P347" s="92"/>
      <c r="Q347" s="90" t="s">
        <v>961</v>
      </c>
      <c r="R347" s="91"/>
      <c r="S347" s="92"/>
      <c r="U347" s="34"/>
      <c r="V347" s="34"/>
      <c r="W347" s="34"/>
      <c r="X347" s="34"/>
      <c r="Y347" s="34"/>
      <c r="Z347" s="34"/>
      <c r="AA347" s="34"/>
      <c r="AB347" s="34"/>
      <c r="AC347" s="34"/>
    </row>
    <row r="348" spans="1:29" s="1" customFormat="1" x14ac:dyDescent="0.25">
      <c r="B348" s="7"/>
      <c r="C348" s="7"/>
      <c r="D348" s="7"/>
      <c r="E348" s="7"/>
      <c r="F348" s="7"/>
      <c r="G348" s="7"/>
      <c r="H348" s="7"/>
      <c r="I348" s="7"/>
      <c r="J348" s="7"/>
      <c r="K348" s="7"/>
      <c r="L348" s="7"/>
      <c r="M348" s="7"/>
      <c r="N348" s="7"/>
      <c r="O348" s="7"/>
      <c r="P348" s="7"/>
      <c r="Q348" s="7"/>
      <c r="R348" s="7"/>
      <c r="S348" s="7"/>
      <c r="T348" s="7"/>
      <c r="U348" s="34"/>
      <c r="V348" s="34"/>
      <c r="W348" s="34"/>
      <c r="X348" s="34"/>
      <c r="Y348" s="34"/>
      <c r="Z348" s="34"/>
      <c r="AA348" s="34"/>
      <c r="AB348" s="34"/>
      <c r="AC348" s="34"/>
    </row>
    <row r="349" spans="1:29" s="7" customFormat="1" ht="15" customHeight="1" x14ac:dyDescent="0.25">
      <c r="B349" s="7" t="s">
        <v>926</v>
      </c>
      <c r="U349" s="34"/>
      <c r="V349" s="34"/>
      <c r="W349" s="34"/>
      <c r="X349" s="34"/>
      <c r="Y349" s="34"/>
      <c r="Z349" s="34"/>
      <c r="AA349" s="34"/>
      <c r="AB349" s="34"/>
      <c r="AC349" s="34"/>
    </row>
    <row r="350" spans="1:29" s="7" customFormat="1" ht="15" customHeight="1" x14ac:dyDescent="0.25">
      <c r="B350" s="139" t="s">
        <v>22</v>
      </c>
      <c r="C350" s="140"/>
      <c r="D350" s="140"/>
      <c r="E350" s="141"/>
      <c r="F350" s="139" t="s">
        <v>93</v>
      </c>
      <c r="G350" s="140"/>
      <c r="H350" s="140"/>
      <c r="I350" s="140"/>
      <c r="J350" s="140"/>
      <c r="K350" s="140"/>
      <c r="L350" s="140"/>
      <c r="M350" s="140"/>
      <c r="N350" s="140"/>
      <c r="O350" s="140"/>
      <c r="P350" s="141"/>
      <c r="Q350" s="139" t="s">
        <v>42</v>
      </c>
      <c r="R350" s="140"/>
      <c r="S350" s="141"/>
      <c r="U350" s="34"/>
      <c r="V350" s="34"/>
      <c r="W350" s="34"/>
      <c r="X350" s="34"/>
      <c r="Y350" s="34"/>
      <c r="Z350" s="34"/>
      <c r="AA350" s="34"/>
      <c r="AB350" s="34"/>
      <c r="AC350" s="34"/>
    </row>
    <row r="351" spans="1:29" s="7" customFormat="1" x14ac:dyDescent="0.25">
      <c r="B351" s="90" t="s">
        <v>287</v>
      </c>
      <c r="C351" s="91"/>
      <c r="D351" s="91"/>
      <c r="E351" s="92"/>
      <c r="F351" s="99" t="s">
        <v>968</v>
      </c>
      <c r="G351" s="91"/>
      <c r="H351" s="91"/>
      <c r="I351" s="91"/>
      <c r="J351" s="91"/>
      <c r="K351" s="91"/>
      <c r="L351" s="91"/>
      <c r="M351" s="91"/>
      <c r="N351" s="91"/>
      <c r="O351" s="91"/>
      <c r="P351" s="92"/>
      <c r="Q351" s="90" t="s">
        <v>969</v>
      </c>
      <c r="R351" s="91"/>
      <c r="S351" s="92"/>
      <c r="U351" s="34"/>
      <c r="V351" s="34"/>
      <c r="W351" s="34"/>
      <c r="X351" s="34"/>
      <c r="Y351" s="34"/>
      <c r="Z351" s="34"/>
      <c r="AA351" s="34"/>
      <c r="AB351" s="34"/>
      <c r="AC351" s="34"/>
    </row>
    <row r="352" spans="1:29" s="1" customFormat="1" x14ac:dyDescent="0.25">
      <c r="B352" s="7"/>
      <c r="C352" s="7"/>
      <c r="D352" s="7"/>
      <c r="E352" s="7"/>
      <c r="F352" s="7"/>
      <c r="G352" s="7"/>
      <c r="H352" s="7"/>
      <c r="I352" s="7"/>
      <c r="J352" s="7"/>
      <c r="K352" s="7"/>
      <c r="L352" s="7"/>
      <c r="M352" s="7"/>
      <c r="N352" s="7"/>
      <c r="O352" s="7"/>
      <c r="P352" s="7"/>
      <c r="Q352" s="7"/>
      <c r="R352" s="7"/>
      <c r="S352" s="7"/>
      <c r="T352" s="7"/>
      <c r="U352" s="34"/>
      <c r="V352" s="34"/>
      <c r="W352" s="34"/>
      <c r="X352" s="34"/>
      <c r="Y352" s="34"/>
      <c r="Z352" s="34"/>
      <c r="AA352" s="34"/>
      <c r="AB352" s="34"/>
      <c r="AC352" s="34"/>
    </row>
    <row r="353" spans="2:29" s="5" customFormat="1" x14ac:dyDescent="0.25">
      <c r="B353" s="11"/>
      <c r="C353" s="11"/>
      <c r="D353" s="11"/>
      <c r="E353" s="11"/>
      <c r="F353" s="11"/>
      <c r="G353" s="11"/>
      <c r="H353" s="11"/>
      <c r="I353" s="11"/>
      <c r="J353" s="11"/>
      <c r="K353" s="11"/>
      <c r="L353" s="11"/>
      <c r="M353" s="11"/>
      <c r="N353" s="11"/>
      <c r="O353" s="11"/>
      <c r="P353" s="11"/>
      <c r="Q353" s="11"/>
      <c r="R353" s="11"/>
      <c r="S353" s="11"/>
      <c r="T353" s="11"/>
      <c r="U353" s="33"/>
      <c r="V353" s="33"/>
      <c r="W353" s="33"/>
      <c r="X353" s="33"/>
      <c r="Y353" s="33"/>
      <c r="Z353" s="33"/>
      <c r="AA353" s="33"/>
      <c r="AB353" s="33"/>
      <c r="AC353" s="33"/>
    </row>
    <row r="354" spans="2:29" s="1" customFormat="1" x14ac:dyDescent="0.25">
      <c r="B354" s="164" t="s">
        <v>5</v>
      </c>
      <c r="C354" s="164"/>
      <c r="D354" s="90" t="s">
        <v>970</v>
      </c>
      <c r="E354" s="91"/>
      <c r="F354" s="92"/>
      <c r="U354" s="34"/>
      <c r="V354" s="34"/>
      <c r="W354" s="34"/>
      <c r="X354" s="34"/>
      <c r="Y354" s="34"/>
      <c r="Z354" s="34"/>
      <c r="AA354" s="34"/>
      <c r="AB354" s="34"/>
      <c r="AC354" s="34"/>
    </row>
    <row r="355" spans="2:29" s="1" customFormat="1" x14ac:dyDescent="0.25">
      <c r="B355" s="164" t="s">
        <v>208</v>
      </c>
      <c r="C355" s="164"/>
      <c r="D355" s="90" t="s">
        <v>971</v>
      </c>
      <c r="E355" s="91"/>
      <c r="F355" s="92"/>
      <c r="U355" s="34"/>
      <c r="V355" s="34"/>
      <c r="W355" s="34"/>
      <c r="X355" s="34"/>
      <c r="Y355" s="34"/>
      <c r="Z355" s="34"/>
      <c r="AA355" s="34"/>
      <c r="AB355" s="34"/>
      <c r="AC355" s="34"/>
    </row>
    <row r="356" spans="2:29" s="1" customFormat="1" x14ac:dyDescent="0.25">
      <c r="B356" s="164" t="s">
        <v>17</v>
      </c>
      <c r="C356" s="164"/>
      <c r="D356" s="90" t="s">
        <v>83</v>
      </c>
      <c r="E356" s="91"/>
      <c r="F356" s="92"/>
      <c r="U356" s="34"/>
      <c r="V356" s="34"/>
      <c r="W356" s="34"/>
      <c r="X356" s="34"/>
      <c r="Y356" s="34"/>
      <c r="Z356" s="34"/>
      <c r="AA356" s="34"/>
      <c r="AB356" s="34"/>
      <c r="AC356" s="34"/>
    </row>
    <row r="357" spans="2:29" s="1" customFormat="1" x14ac:dyDescent="0.25">
      <c r="B357" s="164" t="s">
        <v>912</v>
      </c>
      <c r="C357" s="164"/>
      <c r="D357" s="90" t="s">
        <v>972</v>
      </c>
      <c r="E357" s="91"/>
      <c r="F357" s="92"/>
      <c r="U357" s="34"/>
      <c r="V357" s="34"/>
      <c r="W357" s="34"/>
      <c r="X357" s="34"/>
      <c r="Y357" s="34"/>
      <c r="Z357" s="34"/>
      <c r="AA357" s="34"/>
      <c r="AB357" s="34"/>
      <c r="AC357" s="34"/>
    </row>
    <row r="358" spans="2:29" s="1" customFormat="1" x14ac:dyDescent="0.25">
      <c r="B358" s="7"/>
      <c r="C358" s="7"/>
      <c r="D358" s="7"/>
      <c r="E358" s="7"/>
      <c r="F358" s="7"/>
      <c r="G358" s="7"/>
      <c r="H358" s="7"/>
      <c r="I358" s="7"/>
      <c r="J358" s="7"/>
      <c r="K358" s="7"/>
      <c r="L358" s="7"/>
      <c r="M358" s="7"/>
      <c r="N358" s="7"/>
      <c r="O358" s="7"/>
      <c r="P358" s="7"/>
      <c r="Q358" s="7"/>
      <c r="R358" s="7"/>
      <c r="S358" s="7"/>
      <c r="T358" s="7"/>
      <c r="U358" s="34"/>
      <c r="V358" s="34"/>
      <c r="W358" s="34"/>
      <c r="X358" s="34"/>
      <c r="Y358" s="34"/>
      <c r="Z358" s="34"/>
      <c r="AA358" s="34"/>
      <c r="AB358" s="34"/>
      <c r="AC358" s="34"/>
    </row>
    <row r="359" spans="2:29" s="1" customFormat="1" x14ac:dyDescent="0.25">
      <c r="B359" s="7" t="s">
        <v>915</v>
      </c>
      <c r="C359" s="7"/>
      <c r="D359" s="7"/>
      <c r="E359" s="7"/>
      <c r="F359" s="7"/>
      <c r="G359" s="7"/>
      <c r="H359" s="7"/>
      <c r="I359" s="7"/>
      <c r="J359" s="7"/>
      <c r="K359" s="7"/>
      <c r="L359" s="7"/>
      <c r="M359" s="7"/>
      <c r="N359" s="7"/>
      <c r="O359" s="7"/>
      <c r="P359" s="7"/>
      <c r="Q359" s="7"/>
      <c r="R359" s="7"/>
      <c r="S359" s="7"/>
      <c r="T359" s="7"/>
      <c r="U359" s="34"/>
      <c r="V359" s="34"/>
      <c r="W359" s="34"/>
      <c r="X359" s="34"/>
      <c r="Y359" s="34"/>
      <c r="Z359" s="34"/>
      <c r="AA359" s="34"/>
      <c r="AB359" s="34"/>
      <c r="AC359" s="34"/>
    </row>
    <row r="360" spans="2:29" s="1" customFormat="1" x14ac:dyDescent="0.25">
      <c r="B360" s="83" t="s">
        <v>22</v>
      </c>
      <c r="C360" s="78" t="s">
        <v>23</v>
      </c>
      <c r="D360" s="83" t="s">
        <v>255</v>
      </c>
      <c r="E360" s="83" t="s">
        <v>254</v>
      </c>
      <c r="F360" s="78" t="s">
        <v>68</v>
      </c>
      <c r="G360" s="78" t="s">
        <v>24</v>
      </c>
      <c r="I360" s="7"/>
      <c r="U360" s="34"/>
      <c r="V360" s="34"/>
      <c r="W360" s="34"/>
      <c r="X360" s="34"/>
      <c r="Y360" s="34"/>
      <c r="Z360" s="34"/>
      <c r="AA360" s="34"/>
      <c r="AB360" s="34"/>
      <c r="AC360" s="34"/>
    </row>
    <row r="361" spans="2:29" s="1" customFormat="1" x14ac:dyDescent="0.25">
      <c r="B361" s="83" t="s">
        <v>25</v>
      </c>
      <c r="C361" s="80">
        <v>13</v>
      </c>
      <c r="D361" s="77">
        <v>0</v>
      </c>
      <c r="E361" s="32">
        <v>0</v>
      </c>
      <c r="F361" s="24">
        <f>(C361+D361+E361+6)</f>
        <v>19</v>
      </c>
      <c r="G361" s="76">
        <f>FLOOR((F361-10)/2,1)</f>
        <v>4</v>
      </c>
      <c r="U361" s="34"/>
      <c r="V361" s="34"/>
      <c r="W361" s="34"/>
      <c r="X361" s="34"/>
      <c r="Y361" s="34"/>
      <c r="Z361" s="34"/>
      <c r="AA361" s="34"/>
      <c r="AB361" s="34"/>
      <c r="AC361" s="34"/>
    </row>
    <row r="362" spans="2:29" s="1" customFormat="1" x14ac:dyDescent="0.25">
      <c r="B362" s="83" t="s">
        <v>26</v>
      </c>
      <c r="C362" s="80">
        <v>13</v>
      </c>
      <c r="D362" s="77">
        <v>0</v>
      </c>
      <c r="E362" s="32">
        <v>0</v>
      </c>
      <c r="F362" s="24">
        <f t="shared" ref="F362" si="14">(C362+D362+E362)</f>
        <v>13</v>
      </c>
      <c r="G362" s="76">
        <f t="shared" ref="G362:G363" si="15">FLOOR((F362-10)/2,1)</f>
        <v>1</v>
      </c>
      <c r="U362" s="34"/>
      <c r="V362" s="34"/>
      <c r="W362" s="34"/>
      <c r="X362" s="34"/>
      <c r="Y362" s="34"/>
      <c r="Z362" s="34"/>
      <c r="AA362" s="34"/>
      <c r="AB362" s="34"/>
      <c r="AC362" s="34"/>
    </row>
    <row r="363" spans="2:29" s="1" customFormat="1" x14ac:dyDescent="0.25">
      <c r="B363" s="8" t="s">
        <v>27</v>
      </c>
      <c r="C363" s="80">
        <v>14</v>
      </c>
      <c r="D363" s="77">
        <v>0</v>
      </c>
      <c r="E363" s="32">
        <v>0</v>
      </c>
      <c r="F363" s="24">
        <f>(C363+D363+E363+6)</f>
        <v>20</v>
      </c>
      <c r="G363" s="76">
        <f t="shared" si="15"/>
        <v>5</v>
      </c>
      <c r="U363" s="34"/>
      <c r="V363" s="34"/>
      <c r="W363" s="34"/>
      <c r="X363" s="34"/>
      <c r="Y363" s="34"/>
      <c r="Z363" s="34"/>
      <c r="AA363" s="34"/>
      <c r="AB363" s="34"/>
      <c r="AC363" s="34"/>
    </row>
    <row r="364" spans="2:29" s="1" customFormat="1" x14ac:dyDescent="0.25">
      <c r="B364" s="7"/>
      <c r="C364" s="7"/>
      <c r="D364" s="7"/>
      <c r="E364" s="7"/>
      <c r="F364" s="7"/>
      <c r="G364" s="7"/>
      <c r="H364" s="7"/>
      <c r="I364" s="7"/>
      <c r="J364" s="7"/>
      <c r="K364" s="7"/>
      <c r="L364" s="7"/>
      <c r="M364" s="7"/>
      <c r="N364" s="7"/>
      <c r="O364" s="7"/>
      <c r="P364" s="7"/>
      <c r="Q364" s="7"/>
      <c r="R364" s="7"/>
      <c r="S364" s="7"/>
      <c r="T364" s="7"/>
      <c r="U364" s="34"/>
      <c r="V364" s="34"/>
      <c r="W364" s="34"/>
      <c r="X364" s="34"/>
      <c r="Y364" s="34"/>
      <c r="Z364" s="34"/>
      <c r="AA364" s="34"/>
      <c r="AB364" s="34"/>
      <c r="AC364" s="34"/>
    </row>
    <row r="365" spans="2:29" s="1" customFormat="1" x14ac:dyDescent="0.25">
      <c r="B365" s="7" t="s">
        <v>934</v>
      </c>
      <c r="U365" s="34"/>
      <c r="V365" s="34"/>
      <c r="W365" s="34"/>
      <c r="X365" s="34"/>
      <c r="Y365" s="34"/>
      <c r="Z365" s="34"/>
      <c r="AA365" s="34"/>
      <c r="AB365" s="34"/>
      <c r="AC365" s="34"/>
    </row>
    <row r="366" spans="2:29" s="7" customFormat="1" x14ac:dyDescent="0.25">
      <c r="B366" s="83" t="s">
        <v>31</v>
      </c>
      <c r="C366" s="25">
        <f>(F366+I366+L366+O366)</f>
        <v>10</v>
      </c>
      <c r="D366" s="111" t="s">
        <v>34</v>
      </c>
      <c r="E366" s="111"/>
      <c r="F366" s="81">
        <v>5</v>
      </c>
      <c r="G366" s="215" t="s">
        <v>935</v>
      </c>
      <c r="H366" s="216"/>
      <c r="I366" s="25">
        <f>G363</f>
        <v>5</v>
      </c>
      <c r="J366" s="111" t="s">
        <v>936</v>
      </c>
      <c r="K366" s="111"/>
      <c r="L366" s="214"/>
      <c r="M366" s="111" t="s">
        <v>937</v>
      </c>
      <c r="N366" s="111"/>
      <c r="O366" s="214"/>
      <c r="U366" s="34"/>
      <c r="V366" s="34"/>
      <c r="W366" s="34"/>
      <c r="X366" s="34"/>
      <c r="Y366" s="34"/>
      <c r="Z366" s="34"/>
      <c r="AA366" s="34"/>
      <c r="AB366" s="34"/>
      <c r="AC366" s="34"/>
    </row>
    <row r="367" spans="2:29" s="7" customFormat="1" x14ac:dyDescent="0.25">
      <c r="B367" s="78" t="s">
        <v>32</v>
      </c>
      <c r="C367" s="25">
        <f>(F367+I367+L367+O367)</f>
        <v>4</v>
      </c>
      <c r="D367" s="111" t="s">
        <v>34</v>
      </c>
      <c r="E367" s="111"/>
      <c r="F367" s="81">
        <v>3</v>
      </c>
      <c r="G367" s="164" t="s">
        <v>70</v>
      </c>
      <c r="H367" s="164"/>
      <c r="I367" s="25">
        <f>IF(G362&gt;G379,G379,G362)</f>
        <v>1</v>
      </c>
      <c r="J367" s="111" t="s">
        <v>936</v>
      </c>
      <c r="K367" s="111"/>
      <c r="L367" s="214"/>
      <c r="M367" s="111" t="s">
        <v>937</v>
      </c>
      <c r="N367" s="111"/>
      <c r="O367" s="214"/>
      <c r="U367" s="34"/>
      <c r="V367" s="34"/>
      <c r="W367" s="34"/>
      <c r="X367" s="34"/>
      <c r="Y367" s="34"/>
      <c r="Z367" s="34"/>
      <c r="AA367" s="34"/>
      <c r="AB367" s="34"/>
      <c r="AC367" s="34"/>
    </row>
    <row r="368" spans="2:29" s="7" customFormat="1" x14ac:dyDescent="0.25">
      <c r="B368" s="78" t="s">
        <v>33</v>
      </c>
      <c r="C368" s="25">
        <f>(F368+I368+L368+O368)</f>
        <v>6</v>
      </c>
      <c r="D368" s="111" t="s">
        <v>34</v>
      </c>
      <c r="E368" s="111"/>
      <c r="F368" s="81">
        <v>1</v>
      </c>
      <c r="G368" s="164" t="s">
        <v>935</v>
      </c>
      <c r="H368" s="164"/>
      <c r="I368" s="25">
        <f>G363</f>
        <v>5</v>
      </c>
      <c r="J368" s="111" t="s">
        <v>936</v>
      </c>
      <c r="K368" s="111"/>
      <c r="L368" s="214"/>
      <c r="M368" s="111" t="s">
        <v>937</v>
      </c>
      <c r="N368" s="111"/>
      <c r="O368" s="214"/>
      <c r="U368" s="34"/>
      <c r="V368" s="34"/>
      <c r="W368" s="34"/>
      <c r="X368" s="34"/>
      <c r="Y368" s="34"/>
      <c r="Z368" s="34"/>
      <c r="AA368" s="34"/>
      <c r="AB368" s="34"/>
      <c r="AC368" s="34"/>
    </row>
    <row r="369" spans="1:29" s="1" customFormat="1" x14ac:dyDescent="0.25">
      <c r="U369" s="34"/>
      <c r="V369" s="34"/>
      <c r="W369" s="34"/>
      <c r="X369" s="34"/>
      <c r="Y369" s="34"/>
      <c r="Z369" s="34"/>
      <c r="AA369" s="34"/>
      <c r="AB369" s="34"/>
      <c r="AC369" s="34"/>
    </row>
    <row r="370" spans="1:29" s="1" customFormat="1" x14ac:dyDescent="0.25">
      <c r="B370" s="7" t="s">
        <v>916</v>
      </c>
      <c r="C370" s="7"/>
      <c r="D370" s="7"/>
      <c r="E370" s="7"/>
      <c r="F370" s="7"/>
      <c r="G370" s="7"/>
      <c r="H370" s="7"/>
      <c r="I370" s="7"/>
      <c r="J370" s="7"/>
      <c r="K370" s="7"/>
      <c r="L370" s="7"/>
      <c r="M370" s="7"/>
      <c r="N370" s="7"/>
      <c r="O370" s="7"/>
      <c r="P370" s="7"/>
      <c r="Q370" s="7"/>
      <c r="R370" s="7"/>
      <c r="S370" s="7"/>
      <c r="T370" s="7"/>
      <c r="U370" s="34"/>
      <c r="V370" s="34"/>
      <c r="W370" s="34"/>
      <c r="X370" s="34"/>
      <c r="Y370" s="34"/>
      <c r="Z370" s="34"/>
      <c r="AA370" s="34"/>
      <c r="AB370" s="34"/>
      <c r="AC370" s="34"/>
    </row>
    <row r="371" spans="1:29" s="1" customFormat="1" x14ac:dyDescent="0.25">
      <c r="A371" s="7"/>
      <c r="B371" s="85" t="s">
        <v>74</v>
      </c>
      <c r="C371" s="85"/>
      <c r="D371" s="27">
        <f>(G362+J371)</f>
        <v>1</v>
      </c>
      <c r="E371" s="85" t="s">
        <v>70</v>
      </c>
      <c r="F371" s="85"/>
      <c r="G371" s="27">
        <f>IF(G362&gt;G379,G379,G362)</f>
        <v>1</v>
      </c>
      <c r="H371" s="85" t="s">
        <v>39</v>
      </c>
      <c r="I371" s="85"/>
      <c r="J371" s="203"/>
      <c r="K371" s="7"/>
      <c r="L371" s="7"/>
      <c r="M371" s="7"/>
      <c r="N371" s="7"/>
      <c r="O371" s="7"/>
      <c r="P371" s="7"/>
      <c r="Q371" s="7"/>
      <c r="R371" s="7"/>
      <c r="S371" s="7"/>
      <c r="T371" s="7"/>
      <c r="U371" s="34"/>
      <c r="V371" s="34"/>
      <c r="W371" s="34"/>
      <c r="X371" s="34"/>
      <c r="Y371" s="34"/>
      <c r="Z371" s="34"/>
      <c r="AA371" s="34"/>
      <c r="AB371" s="34"/>
      <c r="AC371" s="34"/>
    </row>
    <row r="372" spans="1:29" s="1" customFormat="1" x14ac:dyDescent="0.25">
      <c r="A372" s="7"/>
      <c r="B372" s="7"/>
      <c r="C372" s="7"/>
      <c r="D372" s="34"/>
      <c r="E372" s="7"/>
      <c r="F372" s="7"/>
      <c r="G372" s="34"/>
      <c r="H372" s="7"/>
      <c r="I372" s="7"/>
      <c r="J372" s="7"/>
      <c r="K372" s="7"/>
      <c r="L372" s="7"/>
      <c r="M372" s="7"/>
      <c r="N372" s="7"/>
      <c r="O372" s="7"/>
      <c r="P372" s="7"/>
      <c r="Q372" s="7"/>
      <c r="R372" s="7"/>
      <c r="S372" s="7"/>
      <c r="T372" s="7"/>
      <c r="U372" s="34"/>
      <c r="V372" s="34"/>
      <c r="W372" s="34"/>
      <c r="X372" s="34"/>
      <c r="Y372" s="34"/>
      <c r="Z372" s="34"/>
      <c r="AA372" s="34"/>
      <c r="AB372" s="34"/>
      <c r="AC372" s="34"/>
    </row>
    <row r="373" spans="1:29" s="1" customFormat="1" x14ac:dyDescent="0.25">
      <c r="A373" s="7"/>
      <c r="B373" s="131" t="s">
        <v>75</v>
      </c>
      <c r="C373" s="133"/>
      <c r="D373" s="29">
        <f>(G373+J373+M373+P373)</f>
        <v>7</v>
      </c>
      <c r="E373" s="131" t="s">
        <v>71</v>
      </c>
      <c r="F373" s="133"/>
      <c r="G373" s="27">
        <v>3</v>
      </c>
      <c r="H373" s="131" t="s">
        <v>72</v>
      </c>
      <c r="I373" s="133"/>
      <c r="J373" s="29">
        <f>G361</f>
        <v>4</v>
      </c>
      <c r="K373" s="131" t="s">
        <v>73</v>
      </c>
      <c r="L373" s="133"/>
      <c r="M373" s="29">
        <f>VLOOKUP(D356,SizeTable,2,FALSE)</f>
        <v>0</v>
      </c>
      <c r="N373" s="131" t="s">
        <v>39</v>
      </c>
      <c r="O373" s="133"/>
      <c r="P373" s="27"/>
      <c r="Q373" s="7"/>
      <c r="R373" s="7"/>
      <c r="S373" s="7"/>
      <c r="T373" s="7"/>
      <c r="U373" s="34"/>
      <c r="V373" s="34"/>
      <c r="W373" s="34"/>
      <c r="X373" s="34"/>
      <c r="Y373" s="34"/>
      <c r="Z373" s="34"/>
      <c r="AA373" s="34"/>
      <c r="AB373" s="34"/>
      <c r="AC373" s="34"/>
    </row>
    <row r="374" spans="1:29" s="1" customFormat="1" x14ac:dyDescent="0.25">
      <c r="A374" s="7"/>
      <c r="B374" s="131" t="s">
        <v>76</v>
      </c>
      <c r="C374" s="133"/>
      <c r="D374" s="29">
        <f>(G374+J374+M374+P374)</f>
        <v>2</v>
      </c>
      <c r="E374" s="131" t="s">
        <v>71</v>
      </c>
      <c r="F374" s="133"/>
      <c r="G374" s="29">
        <f>G373</f>
        <v>3</v>
      </c>
      <c r="H374" s="131" t="s">
        <v>36</v>
      </c>
      <c r="I374" s="133"/>
      <c r="J374" s="29">
        <f>IF(G362&gt;G379,G379,G362)</f>
        <v>1</v>
      </c>
      <c r="K374" s="131" t="s">
        <v>73</v>
      </c>
      <c r="L374" s="133"/>
      <c r="M374" s="29">
        <f>VLOOKUP(D356,SizeTable,2,FALSE)</f>
        <v>0</v>
      </c>
      <c r="N374" s="131" t="s">
        <v>39</v>
      </c>
      <c r="O374" s="133"/>
      <c r="P374" s="27">
        <v>-2</v>
      </c>
      <c r="Q374" s="7"/>
      <c r="R374" s="7"/>
      <c r="S374" s="7"/>
      <c r="T374" s="7"/>
      <c r="U374" s="34"/>
      <c r="V374" s="34"/>
      <c r="W374" s="34"/>
      <c r="X374" s="34"/>
      <c r="Y374" s="34"/>
      <c r="Z374" s="34"/>
      <c r="AA374" s="34"/>
      <c r="AB374" s="34"/>
      <c r="AC374" s="34"/>
    </row>
    <row r="375" spans="1:29" s="1" customFormat="1" x14ac:dyDescent="0.25">
      <c r="A375" s="7"/>
      <c r="B375" s="131" t="s">
        <v>77</v>
      </c>
      <c r="C375" s="133"/>
      <c r="D375" s="29">
        <f>(G375+J375+M375+P375)</f>
        <v>7</v>
      </c>
      <c r="E375" s="131" t="s">
        <v>71</v>
      </c>
      <c r="F375" s="133"/>
      <c r="G375" s="29">
        <f>G374</f>
        <v>3</v>
      </c>
      <c r="H375" s="131" t="s">
        <v>72</v>
      </c>
      <c r="I375" s="133"/>
      <c r="J375" s="29">
        <f>G361</f>
        <v>4</v>
      </c>
      <c r="K375" s="131" t="s">
        <v>73</v>
      </c>
      <c r="L375" s="133"/>
      <c r="M375" s="29">
        <f>LOOKUP(VLOOKUP(D356,SizeTable,2,FALSE), {-8,-4,-2,-1,0,1,2,4,8},{16,12,8,4,0,-4,-8,-12,-16})</f>
        <v>0</v>
      </c>
      <c r="N375" s="131" t="s">
        <v>39</v>
      </c>
      <c r="O375" s="133"/>
      <c r="P375" s="27"/>
      <c r="Q375" s="7"/>
      <c r="R375" s="7"/>
      <c r="S375" s="7"/>
      <c r="T375" s="7"/>
      <c r="U375" s="34"/>
      <c r="V375" s="34"/>
      <c r="W375" s="34"/>
      <c r="X375" s="34"/>
      <c r="Y375" s="34"/>
      <c r="Z375" s="34"/>
      <c r="AA375" s="34"/>
      <c r="AB375" s="34"/>
      <c r="AC375" s="34"/>
    </row>
    <row r="376" spans="1:29" s="1" customFormat="1" x14ac:dyDescent="0.25">
      <c r="A376" s="7"/>
      <c r="B376" s="7"/>
      <c r="C376" s="7"/>
      <c r="D376" s="34"/>
      <c r="E376" s="7"/>
      <c r="F376" s="7"/>
      <c r="G376" s="34"/>
      <c r="H376" s="7"/>
      <c r="I376" s="7"/>
      <c r="J376" s="34"/>
      <c r="K376" s="7"/>
      <c r="L376" s="7"/>
      <c r="M376" s="34"/>
      <c r="N376" s="7"/>
      <c r="O376" s="7"/>
      <c r="P376" s="34"/>
      <c r="Q376" s="7"/>
      <c r="R376" s="7"/>
      <c r="S376" s="7"/>
      <c r="T376" s="7"/>
      <c r="U376" s="34"/>
      <c r="V376" s="34"/>
      <c r="W376" s="34"/>
      <c r="X376" s="34"/>
      <c r="Y376" s="34"/>
      <c r="Z376" s="34"/>
      <c r="AA376" s="34"/>
      <c r="AB376" s="34"/>
      <c r="AC376" s="34"/>
    </row>
    <row r="377" spans="1:29" s="1" customFormat="1" x14ac:dyDescent="0.25">
      <c r="A377" s="7"/>
      <c r="B377" s="85" t="s">
        <v>10</v>
      </c>
      <c r="C377" s="85"/>
      <c r="D377" s="29">
        <f>(10+G377+J377+M377+P377+J378+M378+P378+M379)</f>
        <v>11</v>
      </c>
      <c r="E377" s="85" t="s">
        <v>78</v>
      </c>
      <c r="F377" s="85"/>
      <c r="G377" s="29">
        <v>0</v>
      </c>
      <c r="H377" s="85" t="s">
        <v>36</v>
      </c>
      <c r="I377" s="85"/>
      <c r="J377" s="29">
        <f>IF(G362&gt;G379,G379,G362)</f>
        <v>1</v>
      </c>
      <c r="K377" s="85" t="s">
        <v>73</v>
      </c>
      <c r="L377" s="85"/>
      <c r="M377" s="29">
        <f>VLOOKUP(D356,SizeTable,2,FALSE)</f>
        <v>0</v>
      </c>
      <c r="N377" s="85" t="s">
        <v>79</v>
      </c>
      <c r="O377" s="85"/>
      <c r="P377" s="27">
        <v>0</v>
      </c>
      <c r="Q377" s="7"/>
      <c r="R377" s="7"/>
      <c r="S377" s="7"/>
      <c r="T377" s="7"/>
      <c r="U377" s="34"/>
      <c r="V377" s="34"/>
      <c r="W377" s="34"/>
      <c r="X377" s="34"/>
      <c r="Y377" s="34"/>
      <c r="Z377" s="34"/>
      <c r="AA377" s="34"/>
      <c r="AB377" s="34"/>
      <c r="AC377" s="34"/>
    </row>
    <row r="378" spans="1:29" s="1" customFormat="1" x14ac:dyDescent="0.25">
      <c r="A378" s="7"/>
      <c r="B378" s="131" t="s">
        <v>82</v>
      </c>
      <c r="C378" s="133"/>
      <c r="D378" s="29">
        <f>(10+J377+M377+J378+P378+M379)</f>
        <v>11</v>
      </c>
      <c r="E378" s="94" t="s">
        <v>177</v>
      </c>
      <c r="F378" s="96"/>
      <c r="G378" s="29">
        <f>(10+G377+M377+P377+J378+M378+P378)</f>
        <v>10</v>
      </c>
      <c r="H378" s="149" t="s">
        <v>81</v>
      </c>
      <c r="I378" s="150"/>
      <c r="J378" s="27">
        <v>0</v>
      </c>
      <c r="K378" s="85" t="s">
        <v>80</v>
      </c>
      <c r="L378" s="85"/>
      <c r="M378" s="27">
        <v>0</v>
      </c>
      <c r="N378" s="85" t="s">
        <v>39</v>
      </c>
      <c r="O378" s="85"/>
      <c r="P378" s="27">
        <v>0</v>
      </c>
      <c r="Q378" s="7"/>
      <c r="R378" s="7"/>
      <c r="S378" s="7"/>
      <c r="T378" s="7"/>
      <c r="U378" s="34"/>
      <c r="V378" s="34"/>
      <c r="W378" s="34"/>
      <c r="X378" s="34"/>
      <c r="Y378" s="34"/>
      <c r="Z378" s="34"/>
      <c r="AA378" s="34"/>
      <c r="AB378" s="34"/>
      <c r="AC378" s="34"/>
    </row>
    <row r="379" spans="1:29" s="1" customFormat="1" x14ac:dyDescent="0.25">
      <c r="A379" s="7"/>
      <c r="B379" s="189" t="s">
        <v>14</v>
      </c>
      <c r="C379" s="189"/>
      <c r="D379" s="79">
        <f>IF((SUM(N268:N271)+SUM(N275:N278))&gt;R361,R361,(SUM(N268:N271)+SUM(N275:N278)))</f>
        <v>0</v>
      </c>
      <c r="E379" s="131" t="s">
        <v>15</v>
      </c>
      <c r="F379" s="133"/>
      <c r="G379" s="29" t="s">
        <v>1</v>
      </c>
      <c r="H379" s="149" t="s">
        <v>16</v>
      </c>
      <c r="I379" s="150"/>
      <c r="J379" s="30">
        <v>0</v>
      </c>
      <c r="K379" s="131" t="s">
        <v>84</v>
      </c>
      <c r="L379" s="133"/>
      <c r="M379" s="27">
        <v>0</v>
      </c>
      <c r="N379" s="7"/>
      <c r="O379" s="7"/>
      <c r="P379" s="7"/>
      <c r="Q379" s="7"/>
      <c r="R379" s="7"/>
      <c r="S379" s="7"/>
      <c r="T379" s="7"/>
      <c r="U379" s="34"/>
      <c r="V379" s="34"/>
      <c r="W379" s="34"/>
      <c r="X379" s="34"/>
      <c r="Y379" s="34"/>
      <c r="Z379" s="34"/>
      <c r="AA379" s="34"/>
      <c r="AB379" s="34"/>
      <c r="AC379" s="34"/>
    </row>
    <row r="380" spans="1:29" s="1" customFormat="1" x14ac:dyDescent="0.25">
      <c r="A380" s="7"/>
      <c r="B380" s="105" t="s">
        <v>243</v>
      </c>
      <c r="C380" s="107"/>
      <c r="D380" s="207"/>
      <c r="E380" s="208"/>
      <c r="F380" s="208"/>
      <c r="G380" s="208"/>
      <c r="H380" s="208"/>
      <c r="I380" s="208"/>
      <c r="J380" s="208"/>
      <c r="K380" s="208"/>
      <c r="L380" s="208"/>
      <c r="M380" s="208"/>
      <c r="N380" s="208"/>
      <c r="O380" s="208"/>
      <c r="P380" s="209"/>
      <c r="Q380" s="7"/>
      <c r="R380" s="7"/>
      <c r="S380" s="7"/>
      <c r="T380" s="7"/>
      <c r="U380" s="34"/>
      <c r="V380" s="34"/>
      <c r="W380" s="34"/>
      <c r="X380" s="34"/>
      <c r="Y380" s="34"/>
      <c r="Z380" s="34"/>
      <c r="AA380" s="34"/>
      <c r="AB380" s="34"/>
      <c r="AC380" s="34"/>
    </row>
    <row r="381" spans="1:29" s="1" customFormat="1" x14ac:dyDescent="0.25">
      <c r="A381" s="7"/>
      <c r="B381" s="7"/>
      <c r="C381" s="7"/>
      <c r="D381" s="7"/>
      <c r="E381" s="7"/>
      <c r="F381" s="7"/>
      <c r="G381" s="7"/>
      <c r="H381" s="7"/>
      <c r="I381" s="7"/>
      <c r="J381" s="7"/>
      <c r="K381" s="7"/>
      <c r="L381" s="7"/>
      <c r="M381" s="7"/>
      <c r="N381" s="7"/>
      <c r="O381" s="7"/>
      <c r="P381" s="7"/>
      <c r="Q381" s="7"/>
      <c r="R381" s="7"/>
      <c r="S381" s="7"/>
      <c r="T381" s="7"/>
      <c r="U381" s="34"/>
      <c r="V381" s="34"/>
      <c r="W381" s="34"/>
      <c r="X381" s="34"/>
      <c r="Y381" s="34"/>
      <c r="Z381" s="34"/>
      <c r="AA381" s="34"/>
      <c r="AB381" s="34"/>
      <c r="AC381" s="34"/>
    </row>
    <row r="382" spans="1:29" s="1" customFormat="1" x14ac:dyDescent="0.25">
      <c r="A382" s="7"/>
      <c r="B382" s="85" t="s">
        <v>85</v>
      </c>
      <c r="C382" s="85"/>
      <c r="D382" s="87"/>
      <c r="E382" s="134"/>
      <c r="F382" s="88"/>
      <c r="G382" s="85" t="s">
        <v>86</v>
      </c>
      <c r="H382" s="85"/>
      <c r="I382" s="203"/>
      <c r="J382" s="82" t="s">
        <v>87</v>
      </c>
      <c r="K382" s="203"/>
      <c r="L382" s="82" t="s">
        <v>88</v>
      </c>
      <c r="M382" s="203"/>
      <c r="N382" s="7"/>
      <c r="O382" s="7"/>
      <c r="P382" s="7"/>
      <c r="Q382" s="7"/>
      <c r="R382" s="7"/>
      <c r="S382" s="7"/>
      <c r="T382" s="7"/>
      <c r="U382" s="34"/>
      <c r="V382" s="34"/>
      <c r="W382" s="34"/>
      <c r="X382" s="34"/>
      <c r="Y382" s="34"/>
      <c r="Z382" s="34"/>
      <c r="AA382" s="34"/>
      <c r="AB382" s="34"/>
      <c r="AC382" s="34"/>
    </row>
    <row r="383" spans="1:29" s="1" customFormat="1" x14ac:dyDescent="0.25">
      <c r="A383" s="7"/>
      <c r="B383" s="85" t="s">
        <v>90</v>
      </c>
      <c r="C383" s="85"/>
      <c r="D383" s="87"/>
      <c r="E383" s="134"/>
      <c r="F383" s="88"/>
      <c r="G383" s="85" t="s">
        <v>86</v>
      </c>
      <c r="H383" s="85"/>
      <c r="I383" s="203"/>
      <c r="J383" s="82" t="s">
        <v>87</v>
      </c>
      <c r="K383" s="203"/>
      <c r="L383" s="82" t="s">
        <v>88</v>
      </c>
      <c r="M383" s="203"/>
      <c r="N383" s="85" t="s">
        <v>89</v>
      </c>
      <c r="O383" s="85"/>
      <c r="P383" s="203"/>
      <c r="Q383" s="7"/>
      <c r="R383" s="7"/>
      <c r="S383" s="7"/>
      <c r="T383" s="7"/>
      <c r="U383" s="34"/>
      <c r="V383" s="34"/>
      <c r="W383" s="34"/>
      <c r="X383" s="34"/>
      <c r="Y383" s="34"/>
      <c r="Z383" s="34"/>
      <c r="AA383" s="34"/>
      <c r="AB383" s="34"/>
      <c r="AC383" s="34"/>
    </row>
    <row r="384" spans="1:29" s="1" customFormat="1" x14ac:dyDescent="0.25">
      <c r="B384" s="7"/>
      <c r="C384" s="7"/>
      <c r="D384" s="7"/>
      <c r="E384" s="7"/>
      <c r="F384" s="7"/>
      <c r="G384" s="7"/>
      <c r="H384" s="7"/>
      <c r="I384" s="7"/>
      <c r="J384" s="7"/>
      <c r="K384" s="7"/>
      <c r="L384" s="7"/>
      <c r="M384" s="7"/>
      <c r="N384" s="7"/>
      <c r="O384" s="7"/>
      <c r="P384" s="7"/>
      <c r="Q384" s="7"/>
      <c r="R384" s="7"/>
      <c r="S384" s="7"/>
      <c r="T384" s="7"/>
      <c r="U384" s="34"/>
      <c r="V384" s="34"/>
      <c r="W384" s="34"/>
      <c r="X384" s="34"/>
      <c r="Y384" s="34"/>
      <c r="Z384" s="34"/>
      <c r="AA384" s="34"/>
      <c r="AB384" s="34"/>
      <c r="AC384" s="34"/>
    </row>
    <row r="385" spans="2:29" s="1" customFormat="1" x14ac:dyDescent="0.25">
      <c r="B385" s="7" t="s">
        <v>938</v>
      </c>
      <c r="C385" s="7"/>
      <c r="D385" s="7"/>
      <c r="E385" s="7"/>
      <c r="F385" s="7"/>
      <c r="G385" s="7"/>
      <c r="H385" s="7"/>
      <c r="I385" s="7"/>
      <c r="J385" s="7"/>
      <c r="K385" s="7"/>
      <c r="L385" s="7"/>
      <c r="M385" s="7"/>
      <c r="N385" s="7"/>
      <c r="O385" s="7"/>
      <c r="P385" s="7"/>
      <c r="Q385" s="7"/>
      <c r="R385" s="7"/>
      <c r="S385" s="7"/>
      <c r="T385" s="7"/>
      <c r="U385" s="34"/>
      <c r="V385" s="34"/>
      <c r="W385" s="34"/>
      <c r="X385" s="34"/>
      <c r="Y385" s="34"/>
      <c r="Z385" s="34"/>
      <c r="AA385" s="34"/>
      <c r="AB385" s="34"/>
      <c r="AC385" s="34"/>
    </row>
    <row r="386" spans="2:29" s="7" customFormat="1" x14ac:dyDescent="0.25">
      <c r="B386" s="111" t="s">
        <v>62</v>
      </c>
      <c r="C386" s="111"/>
      <c r="D386" s="111"/>
      <c r="E386" s="111" t="s">
        <v>63</v>
      </c>
      <c r="F386" s="111"/>
      <c r="G386" s="111"/>
      <c r="H386" s="111" t="s">
        <v>64</v>
      </c>
      <c r="I386" s="111"/>
      <c r="J386" s="111"/>
      <c r="K386" s="111" t="s">
        <v>65</v>
      </c>
      <c r="L386" s="111"/>
      <c r="M386" s="111" t="s">
        <v>60</v>
      </c>
      <c r="N386" s="111"/>
      <c r="O386" s="111"/>
      <c r="P386" s="111" t="s">
        <v>61</v>
      </c>
      <c r="Q386" s="111"/>
      <c r="U386" s="34"/>
      <c r="V386" s="34"/>
      <c r="W386" s="34"/>
      <c r="X386" s="34"/>
      <c r="Y386" s="34"/>
      <c r="Z386" s="34"/>
      <c r="AA386" s="34"/>
      <c r="AB386" s="34"/>
      <c r="AC386" s="34"/>
    </row>
    <row r="387" spans="2:29" s="1" customFormat="1" x14ac:dyDescent="0.25">
      <c r="B387" s="154">
        <f>LOOKUP(F361, {1,2,3,4,5,6,7,8,9,10,11,12,13,14,15,16,17,18,19,20,21,22,23,24,25,26,27,28,29,30,31,32,33,34,35,36,37,38,39,40}, {3,6,10,13,16,20,23,26,30,33,38,43,50,58,66,76,86,100,116,133,153,173,200,233,266,306,346,400,466,532,612,692,800,932,1064,1224,1384,1600,1864,2128})</f>
        <v>116</v>
      </c>
      <c r="C387" s="154"/>
      <c r="D387" s="154"/>
      <c r="E387" s="154">
        <f>LOOKUP(F361, {1,2,3,4,5,6,7,8,9,10,11,12,13,14,15,16,17,18,19,20,21,22,23,24,25,26,27,28,29,30,31,32,33,34,35,36,37,38,39,40}, {6,13,20,26,33,40,46,53,60,66,76,86,100,116,133,153,173,200,233,266,306,346,400,466,533,613,693,800,933,1064,1224,1384,1600,1864,2132,2452,2772,3200,3732,4256})</f>
        <v>233</v>
      </c>
      <c r="F387" s="154"/>
      <c r="G387" s="154"/>
      <c r="H387" s="154">
        <f>LOOKUP(F361, {1,2,3,4,5,6,7,8,9,10,11,12,13,14,15,16,17,18,19,20,21,22,23,24,25,26,27,28,29,30,31,32,33,34,35,36,37,38,39,40}, {10,20,30,40,50,60,70,80,90,100,115,130,150,175,200,230,260,300,350,400,460,520,600,700,800,920,1040,1200,1400,1600,1840,2080,2400,2800,3200,3680,4160,4800,5600,6400})</f>
        <v>350</v>
      </c>
      <c r="I387" s="154"/>
      <c r="J387" s="154"/>
      <c r="K387" s="154">
        <v>0</v>
      </c>
      <c r="L387" s="154"/>
      <c r="M387" s="188">
        <v>5</v>
      </c>
      <c r="N387" s="188"/>
      <c r="O387" s="188"/>
      <c r="P387" s="154">
        <f>IF(M387&gt;=30,M387-(IF(B387&gt;=K387,0,10)),M387-(IF(B387&gt;=K387,0,5)))</f>
        <v>5</v>
      </c>
      <c r="Q387" s="154"/>
      <c r="R387" s="17">
        <f>IF(AND(K387&gt;B387,K387&lt;=E387),-3,IF(AND(K387&gt;E387,K387&lt;=H387),-6,0))</f>
        <v>0</v>
      </c>
      <c r="U387" s="34"/>
      <c r="V387" s="34"/>
      <c r="W387" s="34"/>
      <c r="X387" s="34"/>
      <c r="Y387" s="34"/>
      <c r="Z387" s="34"/>
      <c r="AA387" s="34"/>
      <c r="AB387" s="34"/>
      <c r="AC387" s="34"/>
    </row>
    <row r="388" spans="2:29" s="1" customFormat="1" x14ac:dyDescent="0.25">
      <c r="B388" s="7"/>
      <c r="C388" s="7"/>
      <c r="D388" s="7"/>
      <c r="E388" s="7"/>
      <c r="F388" s="7"/>
      <c r="G388" s="7"/>
      <c r="H388" s="7"/>
      <c r="I388" s="7"/>
      <c r="J388" s="7"/>
      <c r="K388" s="7"/>
      <c r="L388" s="7"/>
      <c r="M388" s="7"/>
      <c r="N388" s="7"/>
      <c r="O388" s="7"/>
      <c r="P388" s="7"/>
      <c r="Q388" s="7"/>
      <c r="R388" s="7"/>
      <c r="S388" s="7"/>
      <c r="T388" s="7"/>
      <c r="U388" s="34"/>
      <c r="V388" s="34"/>
      <c r="W388" s="34"/>
      <c r="X388" s="34"/>
      <c r="Y388" s="34"/>
      <c r="Z388" s="34"/>
      <c r="AA388" s="34"/>
      <c r="AB388" s="34"/>
      <c r="AC388" s="34"/>
    </row>
    <row r="389" spans="2:29" s="1" customFormat="1" x14ac:dyDescent="0.25">
      <c r="B389" s="7" t="s">
        <v>973</v>
      </c>
      <c r="C389" s="7"/>
      <c r="D389" s="7"/>
      <c r="E389" s="7"/>
      <c r="F389" s="7"/>
      <c r="G389" s="7"/>
      <c r="H389" s="7"/>
      <c r="I389" s="7"/>
      <c r="J389" s="7"/>
      <c r="K389" s="7"/>
      <c r="L389" s="7"/>
      <c r="M389" s="7"/>
      <c r="N389" s="7"/>
      <c r="O389" s="7"/>
      <c r="P389" s="7"/>
      <c r="Q389" s="7"/>
      <c r="R389" s="7"/>
      <c r="S389" s="7"/>
      <c r="T389" s="7"/>
      <c r="U389" s="34"/>
      <c r="V389" s="34"/>
      <c r="W389" s="34"/>
      <c r="X389" s="34"/>
      <c r="Y389" s="34"/>
      <c r="Z389" s="34"/>
      <c r="AA389" s="34"/>
      <c r="AB389" s="34"/>
      <c r="AC389" s="34"/>
    </row>
    <row r="390" spans="2:29" s="7" customFormat="1" x14ac:dyDescent="0.25">
      <c r="B390" s="111" t="s">
        <v>62</v>
      </c>
      <c r="C390" s="111"/>
      <c r="D390" s="111"/>
      <c r="E390" s="111" t="s">
        <v>63</v>
      </c>
      <c r="F390" s="111"/>
      <c r="G390" s="111"/>
      <c r="H390" s="111" t="s">
        <v>64</v>
      </c>
      <c r="I390" s="111"/>
      <c r="J390" s="111"/>
      <c r="K390" s="111" t="s">
        <v>65</v>
      </c>
      <c r="L390" s="111"/>
      <c r="M390" s="111" t="s">
        <v>60</v>
      </c>
      <c r="N390" s="111"/>
      <c r="O390" s="111"/>
      <c r="P390" s="111" t="s">
        <v>61</v>
      </c>
      <c r="Q390" s="111"/>
      <c r="U390" s="34"/>
      <c r="V390" s="34"/>
      <c r="W390" s="34"/>
      <c r="X390" s="34"/>
      <c r="Y390" s="34"/>
      <c r="Z390" s="34"/>
      <c r="AA390" s="34"/>
      <c r="AB390" s="34"/>
      <c r="AC390" s="34"/>
    </row>
    <row r="391" spans="2:29" s="1" customFormat="1" x14ac:dyDescent="0.25">
      <c r="B391" s="154">
        <f>LOOKUP(F361, {1,2,3,4,5,6,7,8,9,10,11,12,13,14,15,16,17,18,19,20,21,22,23,24,25,26,27,28,29,30,31,32,33,34,35,36,37,38,39,40}, {3,6,10,13,16,20,23,26,30,33,38,43,50,58,66,76,86,100,116,133,153,173,200,233,266,306,346,400,466,532,612,692,800,932,1064,1224,1384,1600,1864,2128})</f>
        <v>116</v>
      </c>
      <c r="C391" s="154"/>
      <c r="D391" s="154"/>
      <c r="E391" s="154">
        <f>LOOKUP(F361, {1,2,3,4,5,6,7,8,9,10,11,12,13,14,15,16,17,18,19,20,21,22,23,24,25,26,27,28,29,30,31,32,33,34,35,36,37,38,39,40}, {6,13,20,26,33,40,46,53,60,66,76,86,100,116,133,153,173,200,233,266,306,346,400,466,533,613,693,800,933,1064,1224,1384,1600,1864,2132,2452,2772,3200,3732,4256})</f>
        <v>233</v>
      </c>
      <c r="F391" s="154"/>
      <c r="G391" s="154"/>
      <c r="H391" s="154">
        <f>LOOKUP(F361, {1,2,3,4,5,6,7,8,9,10,11,12,13,14,15,16,17,18,19,20,21,22,23,24,25,26,27,28,29,30,31,32,33,34,35,36,37,38,39,40}, {10,20,30,40,50,60,70,80,90,100,115,130,150,175,200,230,260,300,350,400,460,520,600,700,800,920,1040,1200,1400,1600,1840,2080,2400,2800,3200,3680,4160,4800,5600,6400})</f>
        <v>350</v>
      </c>
      <c r="I391" s="154"/>
      <c r="J391" s="154"/>
      <c r="K391" s="154">
        <v>0</v>
      </c>
      <c r="L391" s="154"/>
      <c r="M391" s="188">
        <v>50</v>
      </c>
      <c r="N391" s="188"/>
      <c r="O391" s="188"/>
      <c r="P391" s="154">
        <f>IF(M391&gt;=30,M391-(IF(B391&gt;=K391,0,10)),M391-(IF(B391&gt;=K391,0,5)))</f>
        <v>50</v>
      </c>
      <c r="Q391" s="154"/>
      <c r="R391" s="17">
        <f>IF(AND(K391&gt;B391,K391&lt;=E391),-3,IF(AND(K391&gt;E391,K391&lt;=H391),-6,0))</f>
        <v>0</v>
      </c>
      <c r="U391" s="34"/>
      <c r="V391" s="34"/>
      <c r="W391" s="34"/>
      <c r="X391" s="34"/>
      <c r="Y391" s="34"/>
      <c r="Z391" s="34"/>
      <c r="AA391" s="34"/>
      <c r="AB391" s="34"/>
      <c r="AC391" s="34"/>
    </row>
    <row r="392" spans="2:29" s="1" customFormat="1" x14ac:dyDescent="0.25">
      <c r="B392" s="7"/>
      <c r="C392" s="7"/>
      <c r="D392" s="7"/>
      <c r="E392" s="7"/>
      <c r="F392" s="7"/>
      <c r="G392" s="7"/>
      <c r="H392" s="7"/>
      <c r="I392" s="7"/>
      <c r="J392" s="7"/>
      <c r="K392" s="7"/>
      <c r="L392" s="7"/>
      <c r="M392" s="7"/>
      <c r="N392" s="7"/>
      <c r="O392" s="7"/>
      <c r="P392" s="7"/>
      <c r="Q392" s="7"/>
      <c r="R392" s="7"/>
      <c r="S392" s="7"/>
      <c r="T392" s="7"/>
      <c r="U392" s="34"/>
      <c r="V392" s="34"/>
      <c r="W392" s="34"/>
      <c r="X392" s="34"/>
      <c r="Y392" s="34"/>
      <c r="Z392" s="34"/>
      <c r="AA392" s="34"/>
      <c r="AB392" s="34"/>
      <c r="AC392" s="34"/>
    </row>
    <row r="393" spans="2:29" s="7" customFormat="1" x14ac:dyDescent="0.25">
      <c r="B393" s="7" t="s">
        <v>92</v>
      </c>
      <c r="U393" s="34"/>
      <c r="V393" s="34"/>
      <c r="W393" s="34"/>
      <c r="X393" s="34"/>
      <c r="Y393" s="34"/>
      <c r="Z393" s="34"/>
      <c r="AA393" s="34"/>
      <c r="AB393" s="34"/>
      <c r="AC393" s="34"/>
    </row>
    <row r="394" spans="2:29" s="7" customFormat="1" ht="15" customHeight="1" x14ac:dyDescent="0.25">
      <c r="B394" s="139" t="s">
        <v>22</v>
      </c>
      <c r="C394" s="140"/>
      <c r="D394" s="140"/>
      <c r="E394" s="141"/>
      <c r="F394" s="139" t="s">
        <v>93</v>
      </c>
      <c r="G394" s="140"/>
      <c r="H394" s="140"/>
      <c r="I394" s="140"/>
      <c r="J394" s="140"/>
      <c r="K394" s="140"/>
      <c r="L394" s="140"/>
      <c r="M394" s="140"/>
      <c r="N394" s="140"/>
      <c r="O394" s="140"/>
      <c r="P394" s="141"/>
      <c r="Q394" s="139" t="s">
        <v>42</v>
      </c>
      <c r="R394" s="140"/>
      <c r="S394" s="141"/>
      <c r="U394" s="34"/>
      <c r="V394" s="34"/>
      <c r="W394" s="34"/>
      <c r="X394" s="34"/>
      <c r="Y394" s="34"/>
      <c r="Z394" s="34"/>
      <c r="AA394" s="34"/>
      <c r="AB394" s="34"/>
      <c r="AC394" s="34"/>
    </row>
    <row r="395" spans="2:29" s="7" customFormat="1" x14ac:dyDescent="0.25">
      <c r="B395" s="90" t="s">
        <v>954</v>
      </c>
      <c r="C395" s="91"/>
      <c r="D395" s="91"/>
      <c r="E395" s="92"/>
      <c r="F395" s="99" t="s">
        <v>974</v>
      </c>
      <c r="G395" s="91"/>
      <c r="H395" s="91"/>
      <c r="I395" s="91"/>
      <c r="J395" s="91"/>
      <c r="K395" s="91"/>
      <c r="L395" s="91"/>
      <c r="M395" s="91"/>
      <c r="N395" s="91"/>
      <c r="O395" s="91"/>
      <c r="P395" s="92"/>
      <c r="Q395" s="90" t="s">
        <v>975</v>
      </c>
      <c r="R395" s="91"/>
      <c r="S395" s="92"/>
      <c r="U395" s="34"/>
      <c r="V395" s="34"/>
      <c r="W395" s="34"/>
      <c r="X395" s="34"/>
      <c r="Y395" s="34"/>
      <c r="Z395" s="34"/>
      <c r="AA395" s="34"/>
      <c r="AB395" s="34"/>
      <c r="AC395" s="34"/>
    </row>
    <row r="396" spans="2:29" s="1" customFormat="1" x14ac:dyDescent="0.25">
      <c r="B396" s="7"/>
      <c r="C396" s="7"/>
      <c r="D396" s="7"/>
      <c r="E396" s="7"/>
      <c r="F396" s="7"/>
      <c r="G396" s="7"/>
      <c r="H396" s="7"/>
      <c r="I396" s="7"/>
      <c r="J396" s="7"/>
      <c r="K396" s="7"/>
      <c r="L396" s="7"/>
      <c r="M396" s="7"/>
      <c r="N396" s="7"/>
      <c r="O396" s="7"/>
      <c r="P396" s="7"/>
      <c r="Q396" s="7"/>
      <c r="R396" s="7"/>
      <c r="S396" s="7"/>
      <c r="T396" s="7"/>
      <c r="U396" s="34"/>
      <c r="V396" s="34"/>
      <c r="W396" s="34"/>
      <c r="X396" s="34"/>
      <c r="Y396" s="34"/>
      <c r="Z396" s="34"/>
      <c r="AA396" s="34"/>
      <c r="AB396" s="34"/>
      <c r="AC396" s="34"/>
    </row>
    <row r="397" spans="2:29" s="5" customFormat="1" x14ac:dyDescent="0.25">
      <c r="B397" s="11"/>
      <c r="C397" s="11"/>
      <c r="D397" s="11"/>
      <c r="E397" s="11"/>
      <c r="F397" s="11"/>
      <c r="G397" s="11"/>
      <c r="H397" s="11"/>
      <c r="I397" s="11"/>
      <c r="J397" s="11"/>
      <c r="K397" s="11"/>
      <c r="L397" s="11"/>
      <c r="M397" s="11"/>
      <c r="N397" s="11"/>
      <c r="O397" s="11"/>
      <c r="P397" s="11"/>
      <c r="Q397" s="11"/>
      <c r="R397" s="11"/>
      <c r="S397" s="11"/>
      <c r="T397" s="11"/>
      <c r="U397" s="33"/>
      <c r="V397" s="33"/>
      <c r="W397" s="33"/>
      <c r="X397" s="33"/>
      <c r="Y397" s="33"/>
      <c r="Z397" s="33"/>
      <c r="AA397" s="33"/>
      <c r="AB397" s="33"/>
      <c r="AC397" s="33"/>
    </row>
    <row r="398" spans="2:29" s="1" customFormat="1" x14ac:dyDescent="0.25">
      <c r="B398" s="164" t="s">
        <v>5</v>
      </c>
      <c r="C398" s="164"/>
      <c r="D398" s="128" t="s">
        <v>976</v>
      </c>
      <c r="E398" s="130"/>
      <c r="F398" s="129"/>
      <c r="U398" s="34"/>
      <c r="V398" s="34"/>
      <c r="W398" s="34"/>
      <c r="X398" s="34"/>
      <c r="Y398" s="34"/>
      <c r="Z398" s="34"/>
      <c r="AA398" s="34"/>
      <c r="AB398" s="34"/>
      <c r="AC398" s="34"/>
    </row>
    <row r="399" spans="2:29" s="1" customFormat="1" x14ac:dyDescent="0.25">
      <c r="B399" s="164" t="s">
        <v>208</v>
      </c>
      <c r="C399" s="164"/>
      <c r="D399" s="128" t="s">
        <v>977</v>
      </c>
      <c r="E399" s="130"/>
      <c r="F399" s="129"/>
      <c r="U399" s="34"/>
      <c r="V399" s="34"/>
      <c r="W399" s="34"/>
      <c r="X399" s="34"/>
      <c r="Y399" s="34"/>
      <c r="Z399" s="34"/>
      <c r="AA399" s="34"/>
      <c r="AB399" s="34"/>
      <c r="AC399" s="34"/>
    </row>
    <row r="400" spans="2:29" s="1" customFormat="1" x14ac:dyDescent="0.25">
      <c r="B400" s="164" t="s">
        <v>17</v>
      </c>
      <c r="C400" s="164"/>
      <c r="D400" s="128" t="s">
        <v>83</v>
      </c>
      <c r="E400" s="130"/>
      <c r="F400" s="129"/>
      <c r="U400" s="34"/>
      <c r="V400" s="34"/>
      <c r="W400" s="34"/>
      <c r="X400" s="34"/>
      <c r="Y400" s="34"/>
      <c r="Z400" s="34"/>
      <c r="AA400" s="34"/>
      <c r="AB400" s="34"/>
      <c r="AC400" s="34"/>
    </row>
    <row r="401" spans="1:29" s="1" customFormat="1" x14ac:dyDescent="0.25">
      <c r="B401" s="164" t="s">
        <v>912</v>
      </c>
      <c r="C401" s="164"/>
      <c r="D401" s="128" t="s">
        <v>978</v>
      </c>
      <c r="E401" s="130"/>
      <c r="F401" s="129"/>
      <c r="U401" s="34"/>
      <c r="V401" s="34"/>
      <c r="W401" s="34"/>
      <c r="X401" s="34"/>
      <c r="Y401" s="34"/>
      <c r="Z401" s="34"/>
      <c r="AA401" s="34"/>
      <c r="AB401" s="34"/>
      <c r="AC401" s="34"/>
    </row>
    <row r="402" spans="1:29" s="1" customFormat="1" x14ac:dyDescent="0.25">
      <c r="B402" s="7"/>
      <c r="C402" s="7"/>
      <c r="D402" s="7"/>
      <c r="E402" s="7"/>
      <c r="F402" s="7"/>
      <c r="G402" s="7"/>
      <c r="H402" s="7"/>
      <c r="I402" s="7"/>
      <c r="J402" s="7"/>
      <c r="K402" s="7"/>
      <c r="L402" s="7"/>
      <c r="M402" s="7"/>
      <c r="N402" s="7"/>
      <c r="O402" s="7"/>
      <c r="P402" s="7"/>
      <c r="Q402" s="7"/>
      <c r="R402" s="7"/>
      <c r="S402" s="7"/>
      <c r="T402" s="7"/>
      <c r="U402" s="34"/>
      <c r="V402" s="34"/>
      <c r="W402" s="34"/>
      <c r="X402" s="34"/>
      <c r="Y402" s="34"/>
      <c r="Z402" s="34"/>
      <c r="AA402" s="34"/>
      <c r="AB402" s="34"/>
      <c r="AC402" s="34"/>
    </row>
    <row r="403" spans="1:29" s="1" customFormat="1" x14ac:dyDescent="0.25">
      <c r="B403" s="7" t="s">
        <v>915</v>
      </c>
      <c r="C403" s="7"/>
      <c r="D403" s="7"/>
      <c r="E403" s="7"/>
      <c r="F403" s="7"/>
      <c r="G403" s="7"/>
      <c r="H403" s="7"/>
      <c r="I403" s="7"/>
      <c r="J403" s="7"/>
      <c r="K403" s="7"/>
      <c r="L403" s="7"/>
      <c r="M403" s="7"/>
      <c r="N403" s="7"/>
      <c r="O403" s="7"/>
      <c r="P403" s="7"/>
      <c r="Q403" s="7"/>
      <c r="R403" s="7"/>
      <c r="S403" s="7"/>
      <c r="T403" s="7"/>
      <c r="U403" s="34"/>
      <c r="V403" s="34"/>
      <c r="W403" s="34"/>
      <c r="X403" s="34"/>
      <c r="Y403" s="34"/>
      <c r="Z403" s="34"/>
      <c r="AA403" s="34"/>
      <c r="AB403" s="34"/>
      <c r="AC403" s="34"/>
    </row>
    <row r="404" spans="1:29" s="1" customFormat="1" x14ac:dyDescent="0.25">
      <c r="B404" s="83" t="s">
        <v>22</v>
      </c>
      <c r="C404" s="78" t="s">
        <v>23</v>
      </c>
      <c r="D404" s="83" t="s">
        <v>255</v>
      </c>
      <c r="E404" s="83" t="s">
        <v>254</v>
      </c>
      <c r="F404" s="78" t="s">
        <v>68</v>
      </c>
      <c r="G404" s="78" t="s">
        <v>24</v>
      </c>
      <c r="I404" s="7"/>
      <c r="U404" s="34"/>
      <c r="V404" s="34"/>
      <c r="W404" s="34"/>
      <c r="X404" s="34"/>
      <c r="Y404" s="34"/>
      <c r="Z404" s="34"/>
      <c r="AA404" s="34"/>
      <c r="AB404" s="34"/>
      <c r="AC404" s="34"/>
    </row>
    <row r="405" spans="1:29" s="1" customFormat="1" x14ac:dyDescent="0.25">
      <c r="B405" s="83" t="s">
        <v>25</v>
      </c>
      <c r="C405" s="200">
        <v>15</v>
      </c>
      <c r="D405" s="2">
        <v>0</v>
      </c>
      <c r="E405" s="201">
        <v>0</v>
      </c>
      <c r="F405" s="53">
        <f>(C405+D405+E405+6)</f>
        <v>21</v>
      </c>
      <c r="G405" s="202">
        <f>FLOOR((F405-10)/2,1)</f>
        <v>5</v>
      </c>
      <c r="U405" s="34"/>
      <c r="V405" s="34"/>
      <c r="W405" s="34"/>
      <c r="X405" s="34"/>
      <c r="Y405" s="34"/>
      <c r="Z405" s="34"/>
      <c r="AA405" s="34"/>
      <c r="AB405" s="34"/>
      <c r="AC405" s="34"/>
    </row>
    <row r="406" spans="1:29" s="1" customFormat="1" x14ac:dyDescent="0.25">
      <c r="B406" s="83" t="s">
        <v>26</v>
      </c>
      <c r="C406" s="200">
        <v>13</v>
      </c>
      <c r="D406" s="2">
        <v>0</v>
      </c>
      <c r="E406" s="201">
        <v>0</v>
      </c>
      <c r="F406" s="53">
        <f t="shared" ref="F406" si="16">(C406+D406+E406)</f>
        <v>13</v>
      </c>
      <c r="G406" s="202">
        <f t="shared" ref="G406:G407" si="17">FLOOR((F406-10)/2,1)</f>
        <v>1</v>
      </c>
      <c r="U406" s="34"/>
      <c r="V406" s="34"/>
      <c r="W406" s="34"/>
      <c r="X406" s="34"/>
      <c r="Y406" s="34"/>
      <c r="Z406" s="34"/>
      <c r="AA406" s="34"/>
      <c r="AB406" s="34"/>
      <c r="AC406" s="34"/>
    </row>
    <row r="407" spans="1:29" s="1" customFormat="1" x14ac:dyDescent="0.25">
      <c r="B407" s="8" t="s">
        <v>27</v>
      </c>
      <c r="C407" s="200">
        <v>14</v>
      </c>
      <c r="D407" s="2">
        <v>0</v>
      </c>
      <c r="E407" s="201">
        <v>0</v>
      </c>
      <c r="F407" s="53">
        <f>(C407+D407+E407+6)</f>
        <v>20</v>
      </c>
      <c r="G407" s="202">
        <f t="shared" si="17"/>
        <v>5</v>
      </c>
      <c r="U407" s="34"/>
      <c r="V407" s="34"/>
      <c r="W407" s="34"/>
      <c r="X407" s="34"/>
      <c r="Y407" s="34"/>
      <c r="Z407" s="34"/>
      <c r="AA407" s="34"/>
      <c r="AB407" s="34"/>
      <c r="AC407" s="34"/>
    </row>
    <row r="408" spans="1:29" s="1" customFormat="1" x14ac:dyDescent="0.25">
      <c r="B408" s="7"/>
      <c r="C408" s="7"/>
      <c r="D408" s="7"/>
      <c r="E408" s="7"/>
      <c r="F408" s="7"/>
      <c r="G408" s="7"/>
      <c r="H408" s="7"/>
      <c r="I408" s="7"/>
      <c r="J408" s="7"/>
      <c r="K408" s="7"/>
      <c r="L408" s="7"/>
      <c r="M408" s="7"/>
      <c r="N408" s="7"/>
      <c r="O408" s="7"/>
      <c r="P408" s="7"/>
      <c r="Q408" s="7"/>
      <c r="R408" s="7"/>
      <c r="S408" s="7"/>
      <c r="T408" s="7"/>
      <c r="U408" s="34"/>
      <c r="V408" s="34"/>
      <c r="W408" s="34"/>
      <c r="X408" s="34"/>
      <c r="Y408" s="34"/>
      <c r="Z408" s="34"/>
      <c r="AA408" s="34"/>
      <c r="AB408" s="34"/>
      <c r="AC408" s="34"/>
    </row>
    <row r="409" spans="1:29" s="1" customFormat="1" x14ac:dyDescent="0.25">
      <c r="B409" s="7" t="s">
        <v>934</v>
      </c>
      <c r="U409" s="34"/>
      <c r="V409" s="34"/>
      <c r="W409" s="34"/>
      <c r="X409" s="34"/>
      <c r="Y409" s="34"/>
      <c r="Z409" s="34"/>
      <c r="AA409" s="34"/>
      <c r="AB409" s="34"/>
      <c r="AC409" s="34"/>
    </row>
    <row r="410" spans="1:29" s="7" customFormat="1" x14ac:dyDescent="0.25">
      <c r="B410" s="83" t="s">
        <v>31</v>
      </c>
      <c r="C410" s="213">
        <f>(F410+I410+L410+O410)</f>
        <v>10</v>
      </c>
      <c r="D410" s="111" t="s">
        <v>34</v>
      </c>
      <c r="E410" s="111"/>
      <c r="F410" s="214">
        <v>5</v>
      </c>
      <c r="G410" s="215" t="s">
        <v>935</v>
      </c>
      <c r="H410" s="216"/>
      <c r="I410" s="213">
        <f>G407</f>
        <v>5</v>
      </c>
      <c r="J410" s="111" t="s">
        <v>936</v>
      </c>
      <c r="K410" s="111"/>
      <c r="L410" s="214"/>
      <c r="M410" s="111" t="s">
        <v>937</v>
      </c>
      <c r="N410" s="111"/>
      <c r="O410" s="214"/>
      <c r="U410" s="34"/>
      <c r="V410" s="34"/>
      <c r="W410" s="34"/>
      <c r="X410" s="34"/>
      <c r="Y410" s="34"/>
      <c r="Z410" s="34"/>
      <c r="AA410" s="34"/>
      <c r="AB410" s="34"/>
      <c r="AC410" s="34"/>
    </row>
    <row r="411" spans="1:29" s="7" customFormat="1" x14ac:dyDescent="0.25">
      <c r="B411" s="78" t="s">
        <v>32</v>
      </c>
      <c r="C411" s="213">
        <f>(F411+I411+L411+O411)</f>
        <v>4</v>
      </c>
      <c r="D411" s="111" t="s">
        <v>34</v>
      </c>
      <c r="E411" s="111"/>
      <c r="F411" s="214">
        <v>3</v>
      </c>
      <c r="G411" s="164" t="s">
        <v>70</v>
      </c>
      <c r="H411" s="164"/>
      <c r="I411" s="213">
        <f>IF(G406&gt;G423,G423,G406)</f>
        <v>1</v>
      </c>
      <c r="J411" s="111" t="s">
        <v>936</v>
      </c>
      <c r="K411" s="111"/>
      <c r="L411" s="214"/>
      <c r="M411" s="111" t="s">
        <v>937</v>
      </c>
      <c r="N411" s="111"/>
      <c r="O411" s="214"/>
      <c r="U411" s="34"/>
      <c r="V411" s="34"/>
      <c r="W411" s="34"/>
      <c r="X411" s="34"/>
      <c r="Y411" s="34"/>
      <c r="Z411" s="34"/>
      <c r="AA411" s="34"/>
      <c r="AB411" s="34"/>
      <c r="AC411" s="34"/>
    </row>
    <row r="412" spans="1:29" s="7" customFormat="1" x14ac:dyDescent="0.25">
      <c r="B412" s="78" t="s">
        <v>33</v>
      </c>
      <c r="C412" s="213">
        <f>(F412+I412+L412+O412)</f>
        <v>6</v>
      </c>
      <c r="D412" s="111" t="s">
        <v>34</v>
      </c>
      <c r="E412" s="111"/>
      <c r="F412" s="214">
        <v>1</v>
      </c>
      <c r="G412" s="164" t="s">
        <v>935</v>
      </c>
      <c r="H412" s="164"/>
      <c r="I412" s="213">
        <f>G407</f>
        <v>5</v>
      </c>
      <c r="J412" s="111" t="s">
        <v>936</v>
      </c>
      <c r="K412" s="111"/>
      <c r="L412" s="214"/>
      <c r="M412" s="111" t="s">
        <v>937</v>
      </c>
      <c r="N412" s="111"/>
      <c r="O412" s="214"/>
      <c r="U412" s="34"/>
      <c r="V412" s="34"/>
      <c r="W412" s="34"/>
      <c r="X412" s="34"/>
      <c r="Y412" s="34"/>
      <c r="Z412" s="34"/>
      <c r="AA412" s="34"/>
      <c r="AB412" s="34"/>
      <c r="AC412" s="34"/>
    </row>
    <row r="413" spans="1:29" s="1" customFormat="1" x14ac:dyDescent="0.25">
      <c r="U413" s="34"/>
      <c r="V413" s="34"/>
      <c r="W413" s="34"/>
      <c r="X413" s="34"/>
      <c r="Y413" s="34"/>
      <c r="Z413" s="34"/>
      <c r="AA413" s="34"/>
      <c r="AB413" s="34"/>
      <c r="AC413" s="34"/>
    </row>
    <row r="414" spans="1:29" s="1" customFormat="1" x14ac:dyDescent="0.25">
      <c r="B414" s="7" t="s">
        <v>916</v>
      </c>
      <c r="C414" s="7"/>
      <c r="D414" s="7"/>
      <c r="E414" s="7"/>
      <c r="F414" s="7"/>
      <c r="G414" s="7"/>
      <c r="H414" s="7"/>
      <c r="I414" s="7"/>
      <c r="J414" s="7"/>
      <c r="K414" s="7"/>
      <c r="L414" s="7"/>
      <c r="M414" s="7"/>
      <c r="N414" s="7"/>
      <c r="O414" s="7"/>
      <c r="P414" s="7"/>
      <c r="Q414" s="7"/>
      <c r="R414" s="7"/>
      <c r="S414" s="7"/>
      <c r="T414" s="7"/>
      <c r="U414" s="34"/>
      <c r="V414" s="34"/>
      <c r="W414" s="34"/>
      <c r="X414" s="34"/>
      <c r="Y414" s="34"/>
      <c r="Z414" s="34"/>
      <c r="AA414" s="34"/>
      <c r="AB414" s="34"/>
      <c r="AC414" s="34"/>
    </row>
    <row r="415" spans="1:29" s="1" customFormat="1" x14ac:dyDescent="0.25">
      <c r="A415" s="7"/>
      <c r="B415" s="85" t="s">
        <v>74</v>
      </c>
      <c r="C415" s="85"/>
      <c r="D415" s="203">
        <f>(G406+J415)</f>
        <v>1</v>
      </c>
      <c r="E415" s="85" t="s">
        <v>70</v>
      </c>
      <c r="F415" s="85"/>
      <c r="G415" s="203">
        <f>IF(G406&gt;G423,G423,G406)</f>
        <v>1</v>
      </c>
      <c r="H415" s="85" t="s">
        <v>39</v>
      </c>
      <c r="I415" s="85"/>
      <c r="J415" s="203"/>
      <c r="K415" s="7"/>
      <c r="L415" s="7"/>
      <c r="M415" s="7"/>
      <c r="N415" s="7"/>
      <c r="O415" s="7"/>
      <c r="P415" s="7"/>
      <c r="Q415" s="7"/>
      <c r="R415" s="7"/>
      <c r="S415" s="7"/>
      <c r="T415" s="7"/>
      <c r="U415" s="34"/>
      <c r="V415" s="34"/>
      <c r="W415" s="34"/>
      <c r="X415" s="34"/>
      <c r="Y415" s="34"/>
      <c r="Z415" s="34"/>
      <c r="AA415" s="34"/>
      <c r="AB415" s="34"/>
      <c r="AC415" s="34"/>
    </row>
    <row r="416" spans="1:29" s="1" customFormat="1" x14ac:dyDescent="0.25">
      <c r="A416" s="7"/>
      <c r="B416" s="7"/>
      <c r="C416" s="7"/>
      <c r="D416" s="7"/>
      <c r="E416" s="7"/>
      <c r="F416" s="7"/>
      <c r="G416" s="7"/>
      <c r="H416" s="7"/>
      <c r="I416" s="7"/>
      <c r="J416" s="7"/>
      <c r="K416" s="7"/>
      <c r="L416" s="7"/>
      <c r="M416" s="7"/>
      <c r="N416" s="7"/>
      <c r="O416" s="7"/>
      <c r="P416" s="7"/>
      <c r="Q416" s="7"/>
      <c r="R416" s="7"/>
      <c r="S416" s="7"/>
      <c r="T416" s="7"/>
      <c r="U416" s="34"/>
      <c r="V416" s="34"/>
      <c r="W416" s="34"/>
      <c r="X416" s="34"/>
      <c r="Y416" s="34"/>
      <c r="Z416" s="34"/>
      <c r="AA416" s="34"/>
      <c r="AB416" s="34"/>
      <c r="AC416" s="34"/>
    </row>
    <row r="417" spans="1:29" s="1" customFormat="1" x14ac:dyDescent="0.25">
      <c r="A417" s="7"/>
      <c r="B417" s="131" t="s">
        <v>75</v>
      </c>
      <c r="C417" s="133"/>
      <c r="D417" s="204">
        <f>(G417+J417+M417+P417)</f>
        <v>8</v>
      </c>
      <c r="E417" s="131" t="s">
        <v>71</v>
      </c>
      <c r="F417" s="133"/>
      <c r="G417" s="203">
        <v>3</v>
      </c>
      <c r="H417" s="131" t="s">
        <v>72</v>
      </c>
      <c r="I417" s="133"/>
      <c r="J417" s="204">
        <f>G405</f>
        <v>5</v>
      </c>
      <c r="K417" s="131" t="s">
        <v>73</v>
      </c>
      <c r="L417" s="133"/>
      <c r="M417" s="204">
        <f>VLOOKUP(D400,SizeTable,2,FALSE)</f>
        <v>0</v>
      </c>
      <c r="N417" s="131" t="s">
        <v>39</v>
      </c>
      <c r="O417" s="133"/>
      <c r="P417" s="203"/>
      <c r="Q417" s="7"/>
      <c r="R417" s="7"/>
      <c r="S417" s="7"/>
      <c r="T417" s="7"/>
      <c r="U417" s="34"/>
      <c r="V417" s="34"/>
      <c r="W417" s="34"/>
      <c r="X417" s="34"/>
      <c r="Y417" s="34"/>
      <c r="Z417" s="34"/>
      <c r="AA417" s="34"/>
      <c r="AB417" s="34"/>
      <c r="AC417" s="34"/>
    </row>
    <row r="418" spans="1:29" s="1" customFormat="1" x14ac:dyDescent="0.25">
      <c r="A418" s="7"/>
      <c r="B418" s="131" t="s">
        <v>76</v>
      </c>
      <c r="C418" s="133"/>
      <c r="D418" s="204">
        <f>(G418+J418+M418+P418)</f>
        <v>2</v>
      </c>
      <c r="E418" s="131" t="s">
        <v>71</v>
      </c>
      <c r="F418" s="133"/>
      <c r="G418" s="204">
        <f>G417</f>
        <v>3</v>
      </c>
      <c r="H418" s="131" t="s">
        <v>36</v>
      </c>
      <c r="I418" s="133"/>
      <c r="J418" s="204">
        <f>IF(G406&gt;G423,G423,G406)</f>
        <v>1</v>
      </c>
      <c r="K418" s="131" t="s">
        <v>73</v>
      </c>
      <c r="L418" s="133"/>
      <c r="M418" s="204">
        <f>VLOOKUP(D400,SizeTable,2,FALSE)</f>
        <v>0</v>
      </c>
      <c r="N418" s="131" t="s">
        <v>39</v>
      </c>
      <c r="O418" s="133"/>
      <c r="P418" s="203">
        <v>-2</v>
      </c>
      <c r="Q418" s="7"/>
      <c r="R418" s="7"/>
      <c r="S418" s="7"/>
      <c r="T418" s="7"/>
      <c r="U418" s="34"/>
      <c r="V418" s="34"/>
      <c r="W418" s="34"/>
      <c r="X418" s="34"/>
      <c r="Y418" s="34"/>
      <c r="Z418" s="34"/>
      <c r="AA418" s="34"/>
      <c r="AB418" s="34"/>
      <c r="AC418" s="34"/>
    </row>
    <row r="419" spans="1:29" s="1" customFormat="1" x14ac:dyDescent="0.25">
      <c r="A419" s="7"/>
      <c r="B419" s="131" t="s">
        <v>77</v>
      </c>
      <c r="C419" s="133"/>
      <c r="D419" s="204">
        <f>(G419+J419+M419+P419)</f>
        <v>8</v>
      </c>
      <c r="E419" s="131" t="s">
        <v>71</v>
      </c>
      <c r="F419" s="133"/>
      <c r="G419" s="204">
        <f>G418</f>
        <v>3</v>
      </c>
      <c r="H419" s="131" t="s">
        <v>72</v>
      </c>
      <c r="I419" s="133"/>
      <c r="J419" s="204">
        <f>G405</f>
        <v>5</v>
      </c>
      <c r="K419" s="131" t="s">
        <v>73</v>
      </c>
      <c r="L419" s="133"/>
      <c r="M419" s="204">
        <f>LOOKUP(VLOOKUP(D400,SizeTable,2,FALSE), {-8,-4,-2,-1,0,1,2,4,8},{16,12,8,4,0,-4,-8,-12,-16})</f>
        <v>0</v>
      </c>
      <c r="N419" s="131" t="s">
        <v>39</v>
      </c>
      <c r="O419" s="133"/>
      <c r="P419" s="203"/>
      <c r="Q419" s="7"/>
      <c r="R419" s="7"/>
      <c r="S419" s="7"/>
      <c r="T419" s="7"/>
      <c r="U419" s="34"/>
      <c r="V419" s="34"/>
      <c r="W419" s="34"/>
      <c r="X419" s="34"/>
      <c r="Y419" s="34"/>
      <c r="Z419" s="34"/>
      <c r="AA419" s="34"/>
      <c r="AB419" s="34"/>
      <c r="AC419" s="34"/>
    </row>
    <row r="420" spans="1:29" s="1" customFormat="1" x14ac:dyDescent="0.25">
      <c r="A420" s="7"/>
      <c r="B420" s="7"/>
      <c r="C420" s="7"/>
      <c r="D420" s="7"/>
      <c r="E420" s="7"/>
      <c r="F420" s="7"/>
      <c r="G420" s="7"/>
      <c r="H420" s="7"/>
      <c r="I420" s="7"/>
      <c r="J420" s="7"/>
      <c r="K420" s="7"/>
      <c r="L420" s="7"/>
      <c r="M420" s="7"/>
      <c r="N420" s="7"/>
      <c r="O420" s="7"/>
      <c r="P420" s="7"/>
      <c r="Q420" s="7"/>
      <c r="R420" s="7"/>
      <c r="S420" s="7"/>
      <c r="T420" s="7"/>
      <c r="U420" s="34"/>
      <c r="V420" s="34"/>
      <c r="W420" s="34"/>
      <c r="X420" s="34"/>
      <c r="Y420" s="34"/>
      <c r="Z420" s="34"/>
      <c r="AA420" s="34"/>
      <c r="AB420" s="34"/>
      <c r="AC420" s="34"/>
    </row>
    <row r="421" spans="1:29" s="1" customFormat="1" x14ac:dyDescent="0.25">
      <c r="A421" s="7"/>
      <c r="B421" s="85" t="s">
        <v>10</v>
      </c>
      <c r="C421" s="85"/>
      <c r="D421" s="204">
        <f>(10+G421+J421+M421+P421+J422+M422+P422+M423)</f>
        <v>26</v>
      </c>
      <c r="E421" s="85" t="s">
        <v>78</v>
      </c>
      <c r="F421" s="85"/>
      <c r="G421" s="204">
        <v>5</v>
      </c>
      <c r="H421" s="85" t="s">
        <v>36</v>
      </c>
      <c r="I421" s="85"/>
      <c r="J421" s="204">
        <f>IF(G406&gt;G423,G423,G406)</f>
        <v>1</v>
      </c>
      <c r="K421" s="85" t="s">
        <v>73</v>
      </c>
      <c r="L421" s="85"/>
      <c r="M421" s="204">
        <f>VLOOKUP(D400,SizeTable,2,FALSE)</f>
        <v>0</v>
      </c>
      <c r="N421" s="85" t="s">
        <v>79</v>
      </c>
      <c r="O421" s="85"/>
      <c r="P421" s="203">
        <v>2</v>
      </c>
      <c r="Q421" s="7"/>
      <c r="R421" s="7"/>
      <c r="S421" s="7"/>
      <c r="T421" s="7"/>
      <c r="U421" s="34"/>
      <c r="V421" s="34"/>
      <c r="W421" s="34"/>
      <c r="X421" s="34"/>
      <c r="Y421" s="34"/>
      <c r="Z421" s="34"/>
      <c r="AA421" s="34"/>
      <c r="AB421" s="34"/>
      <c r="AC421" s="34"/>
    </row>
    <row r="422" spans="1:29" s="1" customFormat="1" x14ac:dyDescent="0.25">
      <c r="A422" s="7"/>
      <c r="B422" s="131" t="s">
        <v>82</v>
      </c>
      <c r="C422" s="133"/>
      <c r="D422" s="204">
        <f>(10+J421+M421+J422+P422+M423)</f>
        <v>11</v>
      </c>
      <c r="E422" s="94" t="s">
        <v>177</v>
      </c>
      <c r="F422" s="96"/>
      <c r="G422" s="204">
        <f>(10+G421+M421+P421+J422+M422+P422)</f>
        <v>25</v>
      </c>
      <c r="H422" s="149" t="s">
        <v>81</v>
      </c>
      <c r="I422" s="150"/>
      <c r="J422" s="203">
        <v>0</v>
      </c>
      <c r="K422" s="85" t="s">
        <v>80</v>
      </c>
      <c r="L422" s="85"/>
      <c r="M422" s="203">
        <v>8</v>
      </c>
      <c r="N422" s="85" t="s">
        <v>39</v>
      </c>
      <c r="O422" s="85"/>
      <c r="P422" s="203">
        <v>0</v>
      </c>
      <c r="Q422" s="7"/>
      <c r="R422" s="7"/>
      <c r="S422" s="7"/>
      <c r="T422" s="7"/>
      <c r="U422" s="34"/>
      <c r="V422" s="34"/>
      <c r="W422" s="34"/>
      <c r="X422" s="34"/>
      <c r="Y422" s="34"/>
      <c r="Z422" s="34"/>
      <c r="AA422" s="34"/>
      <c r="AB422" s="34"/>
      <c r="AC422" s="34"/>
    </row>
    <row r="423" spans="1:29" s="1" customFormat="1" x14ac:dyDescent="0.25">
      <c r="A423" s="7"/>
      <c r="B423" s="189" t="s">
        <v>14</v>
      </c>
      <c r="C423" s="189"/>
      <c r="D423" s="205">
        <f>IF((SUM(N379:N382)+SUM(N386:N387))&gt;R405,R405,(SUM(N379:N382)+SUM(N386:N387)))</f>
        <v>0</v>
      </c>
      <c r="E423" s="131" t="s">
        <v>15</v>
      </c>
      <c r="F423" s="133"/>
      <c r="G423" s="204">
        <v>4</v>
      </c>
      <c r="H423" s="149" t="s">
        <v>16</v>
      </c>
      <c r="I423" s="150"/>
      <c r="J423" s="206">
        <v>0</v>
      </c>
      <c r="K423" s="131" t="s">
        <v>84</v>
      </c>
      <c r="L423" s="133"/>
      <c r="M423" s="203">
        <v>0</v>
      </c>
      <c r="N423" s="7"/>
      <c r="O423" s="7"/>
      <c r="P423" s="7"/>
      <c r="Q423" s="7"/>
      <c r="R423" s="7"/>
      <c r="S423" s="7"/>
      <c r="T423" s="7"/>
      <c r="U423" s="34"/>
      <c r="V423" s="34"/>
      <c r="W423" s="34"/>
      <c r="X423" s="34"/>
      <c r="Y423" s="34"/>
      <c r="Z423" s="34"/>
      <c r="AA423" s="34"/>
      <c r="AB423" s="34"/>
      <c r="AC423" s="34"/>
    </row>
    <row r="424" spans="1:29" s="1" customFormat="1" x14ac:dyDescent="0.25">
      <c r="A424" s="7"/>
      <c r="B424" s="105" t="s">
        <v>243</v>
      </c>
      <c r="C424" s="107"/>
      <c r="D424" s="207"/>
      <c r="E424" s="208"/>
      <c r="F424" s="208"/>
      <c r="G424" s="208"/>
      <c r="H424" s="208"/>
      <c r="I424" s="208"/>
      <c r="J424" s="208"/>
      <c r="K424" s="208"/>
      <c r="L424" s="208"/>
      <c r="M424" s="208"/>
      <c r="N424" s="208"/>
      <c r="O424" s="208"/>
      <c r="P424" s="209"/>
      <c r="Q424" s="7"/>
      <c r="R424" s="7"/>
      <c r="S424" s="7"/>
      <c r="T424" s="7"/>
      <c r="U424" s="34"/>
      <c r="V424" s="34"/>
      <c r="W424" s="34"/>
      <c r="X424" s="34"/>
      <c r="Y424" s="34"/>
      <c r="Z424" s="34"/>
      <c r="AA424" s="34"/>
      <c r="AB424" s="34"/>
      <c r="AC424" s="34"/>
    </row>
    <row r="425" spans="1:29" s="1" customFormat="1" x14ac:dyDescent="0.25">
      <c r="A425" s="7"/>
      <c r="B425" s="7"/>
      <c r="C425" s="7"/>
      <c r="D425" s="7"/>
      <c r="E425" s="7"/>
      <c r="F425" s="7"/>
      <c r="G425" s="7"/>
      <c r="H425" s="7"/>
      <c r="I425" s="7"/>
      <c r="J425" s="7"/>
      <c r="K425" s="7"/>
      <c r="L425" s="7"/>
      <c r="M425" s="7"/>
      <c r="N425" s="7"/>
      <c r="O425" s="7"/>
      <c r="P425" s="7"/>
      <c r="Q425" s="7"/>
      <c r="R425" s="7"/>
      <c r="S425" s="7"/>
      <c r="T425" s="7"/>
      <c r="U425" s="34"/>
      <c r="V425" s="34"/>
      <c r="W425" s="34"/>
      <c r="X425" s="34"/>
      <c r="Y425" s="34"/>
      <c r="Z425" s="34"/>
      <c r="AA425" s="34"/>
      <c r="AB425" s="34"/>
      <c r="AC425" s="34"/>
    </row>
    <row r="426" spans="1:29" s="1" customFormat="1" x14ac:dyDescent="0.25">
      <c r="A426" s="7"/>
      <c r="B426" s="85" t="s">
        <v>85</v>
      </c>
      <c r="C426" s="85"/>
      <c r="D426" s="87" t="s">
        <v>905</v>
      </c>
      <c r="E426" s="134"/>
      <c r="F426" s="88"/>
      <c r="G426" s="85" t="s">
        <v>86</v>
      </c>
      <c r="H426" s="85"/>
      <c r="I426" s="203">
        <f>D417</f>
        <v>8</v>
      </c>
      <c r="J426" s="82" t="s">
        <v>87</v>
      </c>
      <c r="K426" s="203" t="str">
        <f>"2d6+"&amp;FLOOR(G405*1.5,1)</f>
        <v>2d6+7</v>
      </c>
      <c r="L426" s="82" t="s">
        <v>88</v>
      </c>
      <c r="M426" s="203" t="s">
        <v>962</v>
      </c>
      <c r="N426" s="7"/>
      <c r="O426" s="7"/>
      <c r="P426" s="7"/>
      <c r="Q426" s="7"/>
      <c r="R426" s="7"/>
      <c r="S426" s="7"/>
      <c r="T426" s="7"/>
      <c r="U426" s="34"/>
      <c r="V426" s="34"/>
      <c r="W426" s="34"/>
      <c r="X426" s="34"/>
      <c r="Y426" s="34"/>
      <c r="Z426" s="34"/>
      <c r="AA426" s="34"/>
      <c r="AB426" s="34"/>
      <c r="AC426" s="34"/>
    </row>
    <row r="427" spans="1:29" s="1" customFormat="1" x14ac:dyDescent="0.25">
      <c r="A427" s="7"/>
      <c r="B427" s="85" t="s">
        <v>85</v>
      </c>
      <c r="C427" s="85"/>
      <c r="D427" s="87" t="s">
        <v>963</v>
      </c>
      <c r="E427" s="134"/>
      <c r="F427" s="88"/>
      <c r="G427" s="85" t="s">
        <v>86</v>
      </c>
      <c r="H427" s="85"/>
      <c r="I427" s="203">
        <f>D417</f>
        <v>8</v>
      </c>
      <c r="J427" s="82" t="s">
        <v>87</v>
      </c>
      <c r="K427" s="203" t="str">
        <f>"1d8+"&amp;G405</f>
        <v>1d8+5</v>
      </c>
      <c r="L427" s="82" t="s">
        <v>88</v>
      </c>
      <c r="M427" s="203" t="s">
        <v>962</v>
      </c>
      <c r="N427" s="7"/>
      <c r="O427" s="7"/>
      <c r="P427" s="7"/>
      <c r="Q427" s="7"/>
      <c r="R427" s="7"/>
      <c r="S427" s="7"/>
      <c r="T427" s="7"/>
      <c r="U427" s="34"/>
      <c r="V427" s="34"/>
      <c r="W427" s="34"/>
      <c r="X427" s="34"/>
      <c r="Y427" s="34"/>
      <c r="Z427" s="34"/>
      <c r="AA427" s="34"/>
      <c r="AB427" s="34"/>
      <c r="AC427" s="34"/>
    </row>
    <row r="428" spans="1:29" s="1" customFormat="1" x14ac:dyDescent="0.25">
      <c r="A428" s="7"/>
      <c r="B428" s="85" t="s">
        <v>85</v>
      </c>
      <c r="C428" s="85"/>
      <c r="D428" s="87" t="s">
        <v>964</v>
      </c>
      <c r="E428" s="134"/>
      <c r="F428" s="88"/>
      <c r="G428" s="85" t="s">
        <v>86</v>
      </c>
      <c r="H428" s="85"/>
      <c r="I428" s="203">
        <f>D417</f>
        <v>8</v>
      </c>
      <c r="J428" s="82" t="s">
        <v>87</v>
      </c>
      <c r="K428" s="203" t="str">
        <f>"1d8+"&amp;FLOOR(G405*1.5,1)</f>
        <v>1d8+7</v>
      </c>
      <c r="L428" s="82" t="s">
        <v>88</v>
      </c>
      <c r="M428" s="203" t="s">
        <v>962</v>
      </c>
      <c r="N428" s="7"/>
      <c r="O428" s="7"/>
      <c r="P428" s="7"/>
      <c r="Q428" s="7"/>
      <c r="R428" s="7"/>
      <c r="S428" s="7"/>
      <c r="T428" s="7"/>
      <c r="U428" s="34"/>
      <c r="V428" s="34"/>
      <c r="W428" s="34"/>
      <c r="X428" s="34"/>
      <c r="Y428" s="34"/>
      <c r="Z428" s="34"/>
      <c r="AA428" s="34"/>
      <c r="AB428" s="34"/>
      <c r="AC428" s="34"/>
    </row>
    <row r="429" spans="1:29" s="1" customFormat="1" x14ac:dyDescent="0.25">
      <c r="A429" s="7"/>
      <c r="B429" s="85" t="s">
        <v>85</v>
      </c>
      <c r="C429" s="85"/>
      <c r="D429" s="87" t="s">
        <v>836</v>
      </c>
      <c r="E429" s="134"/>
      <c r="F429" s="88"/>
      <c r="G429" s="85" t="s">
        <v>86</v>
      </c>
      <c r="H429" s="85"/>
      <c r="I429" s="203">
        <f>D417</f>
        <v>8</v>
      </c>
      <c r="J429" s="82" t="s">
        <v>87</v>
      </c>
      <c r="K429" s="203" t="str">
        <f>"2d4+"&amp;FLOOR(G405*1.5,1)</f>
        <v>2d4+7</v>
      </c>
      <c r="L429" s="82" t="s">
        <v>88</v>
      </c>
      <c r="M429" s="203" t="s">
        <v>962</v>
      </c>
      <c r="N429" s="7"/>
      <c r="O429" s="7"/>
      <c r="P429" s="7"/>
      <c r="Q429" s="7"/>
      <c r="R429" s="7"/>
      <c r="S429" s="7"/>
      <c r="T429" s="7"/>
      <c r="U429" s="34"/>
      <c r="V429" s="34"/>
      <c r="W429" s="34"/>
      <c r="X429" s="34"/>
      <c r="Y429" s="34"/>
      <c r="Z429" s="34"/>
      <c r="AA429" s="34"/>
      <c r="AB429" s="34"/>
      <c r="AC429" s="34"/>
    </row>
    <row r="430" spans="1:29" s="1" customFormat="1" x14ac:dyDescent="0.25">
      <c r="A430" s="7"/>
      <c r="B430" s="85" t="s">
        <v>85</v>
      </c>
      <c r="C430" s="85"/>
      <c r="D430" s="87" t="s">
        <v>979</v>
      </c>
      <c r="E430" s="134"/>
      <c r="F430" s="88"/>
      <c r="G430" s="85" t="s">
        <v>86</v>
      </c>
      <c r="H430" s="85"/>
      <c r="I430" s="203">
        <f>D417</f>
        <v>8</v>
      </c>
      <c r="J430" s="82" t="s">
        <v>87</v>
      </c>
      <c r="K430" s="203" t="str">
        <f>"1d4+"&amp;G405</f>
        <v>1d4+5</v>
      </c>
      <c r="L430" s="82" t="s">
        <v>88</v>
      </c>
      <c r="M430" s="203" t="s">
        <v>918</v>
      </c>
      <c r="N430" s="7"/>
      <c r="O430" s="7"/>
      <c r="P430" s="7"/>
      <c r="Q430" s="7"/>
      <c r="R430" s="7"/>
      <c r="S430" s="7"/>
      <c r="T430" s="7"/>
      <c r="U430" s="34"/>
      <c r="V430" s="34"/>
      <c r="W430" s="34"/>
      <c r="X430" s="34"/>
      <c r="Y430" s="34"/>
      <c r="Z430" s="34"/>
      <c r="AA430" s="34"/>
      <c r="AB430" s="34"/>
      <c r="AC430" s="34"/>
    </row>
    <row r="431" spans="1:29" s="1" customFormat="1" x14ac:dyDescent="0.25">
      <c r="A431" s="7"/>
      <c r="B431" s="85" t="s">
        <v>85</v>
      </c>
      <c r="C431" s="85"/>
      <c r="D431" s="87" t="s">
        <v>980</v>
      </c>
      <c r="E431" s="134"/>
      <c r="F431" s="88"/>
      <c r="G431" s="85" t="s">
        <v>86</v>
      </c>
      <c r="H431" s="85"/>
      <c r="I431" s="203">
        <f>D417-2</f>
        <v>6</v>
      </c>
      <c r="J431" s="82" t="s">
        <v>87</v>
      </c>
      <c r="K431" s="203" t="str">
        <f>"1d4+"&amp;FLOOR(G405*0.5,1)</f>
        <v>1d4+2</v>
      </c>
      <c r="L431" s="82" t="s">
        <v>88</v>
      </c>
      <c r="M431" s="203" t="s">
        <v>918</v>
      </c>
      <c r="N431" s="7"/>
      <c r="O431" s="7"/>
      <c r="P431" s="7"/>
      <c r="Q431" s="7"/>
      <c r="R431" s="7"/>
      <c r="S431" s="7"/>
      <c r="T431" s="7"/>
      <c r="U431" s="34"/>
      <c r="V431" s="34"/>
      <c r="W431" s="34"/>
      <c r="X431" s="34"/>
      <c r="Y431" s="34"/>
      <c r="Z431" s="34"/>
      <c r="AA431" s="34"/>
      <c r="AB431" s="34"/>
      <c r="AC431" s="34"/>
    </row>
    <row r="432" spans="1:29" s="1" customFormat="1" x14ac:dyDescent="0.25">
      <c r="A432" s="7"/>
      <c r="B432" s="85" t="s">
        <v>85</v>
      </c>
      <c r="C432" s="85"/>
      <c r="D432" s="87" t="s">
        <v>981</v>
      </c>
      <c r="E432" s="134"/>
      <c r="F432" s="88"/>
      <c r="G432" s="85" t="s">
        <v>86</v>
      </c>
      <c r="H432" s="85"/>
      <c r="I432" s="203">
        <f>D417</f>
        <v>8</v>
      </c>
      <c r="J432" s="82" t="s">
        <v>87</v>
      </c>
      <c r="K432" s="203" t="str">
        <f>"1d6+"&amp;G405</f>
        <v>1d6+5</v>
      </c>
      <c r="L432" s="82" t="s">
        <v>88</v>
      </c>
      <c r="M432" s="203" t="s">
        <v>918</v>
      </c>
      <c r="N432" s="7"/>
      <c r="O432" s="7"/>
      <c r="P432" s="7"/>
      <c r="Q432" s="7"/>
      <c r="R432" s="7"/>
      <c r="S432" s="7"/>
      <c r="T432" s="7"/>
      <c r="U432" s="34"/>
      <c r="V432" s="34"/>
      <c r="W432" s="34"/>
      <c r="X432" s="34"/>
      <c r="Y432" s="34"/>
      <c r="Z432" s="34"/>
      <c r="AA432" s="34"/>
      <c r="AB432" s="34"/>
      <c r="AC432" s="34"/>
    </row>
    <row r="433" spans="1:29" s="1" customFormat="1" x14ac:dyDescent="0.25">
      <c r="A433" s="7"/>
      <c r="B433" s="85" t="s">
        <v>85</v>
      </c>
      <c r="C433" s="85"/>
      <c r="D433" s="87" t="s">
        <v>982</v>
      </c>
      <c r="E433" s="134"/>
      <c r="F433" s="88"/>
      <c r="G433" s="85" t="s">
        <v>86</v>
      </c>
      <c r="H433" s="85"/>
      <c r="I433" s="203">
        <f>D417-2</f>
        <v>6</v>
      </c>
      <c r="J433" s="82" t="s">
        <v>87</v>
      </c>
      <c r="K433" s="203" t="str">
        <f>"1d6+"&amp;FLOOR(G405*0.5,1)</f>
        <v>1d6+2</v>
      </c>
      <c r="L433" s="82" t="s">
        <v>88</v>
      </c>
      <c r="M433" s="203" t="s">
        <v>918</v>
      </c>
      <c r="N433" s="7"/>
      <c r="O433" s="7"/>
      <c r="P433" s="7"/>
      <c r="Q433" s="7"/>
      <c r="R433" s="7"/>
      <c r="S433" s="7"/>
      <c r="T433" s="7"/>
      <c r="U433" s="34"/>
      <c r="V433" s="34"/>
      <c r="W433" s="34"/>
      <c r="X433" s="34"/>
      <c r="Y433" s="34"/>
      <c r="Z433" s="34"/>
      <c r="AA433" s="34"/>
      <c r="AB433" s="34"/>
      <c r="AC433" s="34"/>
    </row>
    <row r="434" spans="1:29" s="1" customFormat="1" x14ac:dyDescent="0.25">
      <c r="A434" s="7"/>
      <c r="B434" s="85" t="s">
        <v>90</v>
      </c>
      <c r="C434" s="85"/>
      <c r="D434" s="87" t="s">
        <v>907</v>
      </c>
      <c r="E434" s="134"/>
      <c r="F434" s="88"/>
      <c r="G434" s="85" t="s">
        <v>86</v>
      </c>
      <c r="H434" s="85"/>
      <c r="I434" s="203">
        <f>D418</f>
        <v>2</v>
      </c>
      <c r="J434" s="82" t="s">
        <v>87</v>
      </c>
      <c r="K434" s="203" t="s">
        <v>802</v>
      </c>
      <c r="L434" s="82" t="s">
        <v>88</v>
      </c>
      <c r="M434" s="203" t="s">
        <v>962</v>
      </c>
      <c r="N434" s="85" t="s">
        <v>89</v>
      </c>
      <c r="O434" s="85"/>
      <c r="P434" s="203" t="s">
        <v>966</v>
      </c>
      <c r="Q434" s="7"/>
      <c r="R434" s="7"/>
      <c r="S434" s="7"/>
      <c r="T434" s="7"/>
      <c r="U434" s="34"/>
      <c r="V434" s="34"/>
      <c r="W434" s="34"/>
      <c r="X434" s="34"/>
      <c r="Y434" s="34"/>
      <c r="Z434" s="34"/>
      <c r="AA434" s="34"/>
      <c r="AB434" s="34"/>
      <c r="AC434" s="34"/>
    </row>
    <row r="435" spans="1:29" s="1" customFormat="1" x14ac:dyDescent="0.25">
      <c r="B435" s="7"/>
      <c r="C435" s="7"/>
      <c r="D435" s="7"/>
      <c r="E435" s="7"/>
      <c r="F435" s="7"/>
      <c r="G435" s="7"/>
      <c r="H435" s="7"/>
      <c r="I435" s="7"/>
      <c r="J435" s="7"/>
      <c r="K435" s="7"/>
      <c r="L435" s="7"/>
      <c r="M435" s="7"/>
      <c r="N435" s="7"/>
      <c r="O435" s="7"/>
      <c r="P435" s="7"/>
      <c r="Q435" s="7"/>
      <c r="R435" s="7"/>
      <c r="S435" s="7"/>
      <c r="T435" s="7"/>
      <c r="U435" s="34"/>
      <c r="V435" s="34"/>
      <c r="W435" s="34"/>
      <c r="X435" s="34"/>
      <c r="Y435" s="34"/>
      <c r="Z435" s="34"/>
      <c r="AA435" s="34"/>
      <c r="AB435" s="34"/>
      <c r="AC435" s="34"/>
    </row>
    <row r="436" spans="1:29" s="1" customFormat="1" x14ac:dyDescent="0.25">
      <c r="B436" s="7" t="s">
        <v>938</v>
      </c>
      <c r="C436" s="7"/>
      <c r="D436" s="7"/>
      <c r="E436" s="7"/>
      <c r="F436" s="7"/>
      <c r="G436" s="7"/>
      <c r="H436" s="7"/>
      <c r="I436" s="7"/>
      <c r="J436" s="7"/>
      <c r="K436" s="7"/>
      <c r="L436" s="7"/>
      <c r="M436" s="7"/>
      <c r="N436" s="7"/>
      <c r="O436" s="7"/>
      <c r="P436" s="7"/>
      <c r="Q436" s="7"/>
      <c r="R436" s="7"/>
      <c r="S436" s="7"/>
      <c r="T436" s="7"/>
      <c r="U436" s="34"/>
      <c r="V436" s="34"/>
      <c r="W436" s="34"/>
      <c r="X436" s="34"/>
      <c r="Y436" s="34"/>
      <c r="Z436" s="34"/>
      <c r="AA436" s="34"/>
      <c r="AB436" s="34"/>
      <c r="AC436" s="34"/>
    </row>
    <row r="437" spans="1:29" s="7" customFormat="1" x14ac:dyDescent="0.25">
      <c r="B437" s="111" t="s">
        <v>62</v>
      </c>
      <c r="C437" s="111"/>
      <c r="D437" s="111"/>
      <c r="E437" s="111" t="s">
        <v>63</v>
      </c>
      <c r="F437" s="111"/>
      <c r="G437" s="111"/>
      <c r="H437" s="111" t="s">
        <v>64</v>
      </c>
      <c r="I437" s="111"/>
      <c r="J437" s="111"/>
      <c r="K437" s="111" t="s">
        <v>65</v>
      </c>
      <c r="L437" s="111"/>
      <c r="M437" s="111" t="s">
        <v>60</v>
      </c>
      <c r="N437" s="111"/>
      <c r="O437" s="111"/>
      <c r="P437" s="111" t="s">
        <v>61</v>
      </c>
      <c r="Q437" s="111"/>
      <c r="U437" s="34"/>
      <c r="V437" s="34"/>
      <c r="W437" s="34"/>
      <c r="X437" s="34"/>
      <c r="Y437" s="34"/>
      <c r="Z437" s="34"/>
      <c r="AA437" s="34"/>
      <c r="AB437" s="34"/>
      <c r="AC437" s="34"/>
    </row>
    <row r="438" spans="1:29" s="1" customFormat="1" x14ac:dyDescent="0.25">
      <c r="B438" s="210">
        <f>LOOKUP(F405, {1,2,3,4,5,6,7,8,9,10,11,12,13,14,15,16,17,18,19,20,21,22,23,24,25,26,27,28,29,30,31,32,33,34,35,36,37,38,39,40}, {3,6,10,13,16,20,23,26,30,33,38,43,50,58,66,76,86,100,116,133,153,173,200,233,266,306,346,400,466,532,612,692,800,932,1064,1224,1384,1600,1864,2128})</f>
        <v>153</v>
      </c>
      <c r="C438" s="210"/>
      <c r="D438" s="210"/>
      <c r="E438" s="210">
        <f>LOOKUP(F405, {1,2,3,4,5,6,7,8,9,10,11,12,13,14,15,16,17,18,19,20,21,22,23,24,25,26,27,28,29,30,31,32,33,34,35,36,37,38,39,40}, {6,13,20,26,33,40,46,53,60,66,76,86,100,116,133,153,173,200,233,266,306,346,400,466,533,613,693,800,933,1064,1224,1384,1600,1864,2132,2452,2772,3200,3732,4256})</f>
        <v>306</v>
      </c>
      <c r="F438" s="210"/>
      <c r="G438" s="210"/>
      <c r="H438" s="210">
        <f>LOOKUP(F405, {1,2,3,4,5,6,7,8,9,10,11,12,13,14,15,16,17,18,19,20,21,22,23,24,25,26,27,28,29,30,31,32,33,34,35,36,37,38,39,40}, {10,20,30,40,50,60,70,80,90,100,115,130,150,175,200,230,260,300,350,400,460,520,600,700,800,920,1040,1200,1400,1600,1840,2080,2400,2800,3200,3680,4160,4800,5600,6400})</f>
        <v>460</v>
      </c>
      <c r="I438" s="210"/>
      <c r="J438" s="210"/>
      <c r="K438" s="210">
        <v>0</v>
      </c>
      <c r="L438" s="210"/>
      <c r="M438" s="211">
        <v>30</v>
      </c>
      <c r="N438" s="211"/>
      <c r="O438" s="211"/>
      <c r="P438" s="210">
        <f>IF(M438&gt;=30,M438-(IF(B438&gt;=K438,0,10)),M438-(IF(B438&gt;=K438,0,5)))</f>
        <v>30</v>
      </c>
      <c r="Q438" s="210"/>
      <c r="R438" s="17">
        <f>IF(AND(K438&gt;B438,K438&lt;=E438),-3,IF(AND(K438&gt;E438,K438&lt;=H438),-6,0))</f>
        <v>0</v>
      </c>
      <c r="U438" s="34"/>
      <c r="V438" s="34"/>
      <c r="W438" s="34"/>
      <c r="X438" s="34"/>
      <c r="Y438" s="34"/>
      <c r="Z438" s="34"/>
      <c r="AA438" s="34"/>
      <c r="AB438" s="34"/>
      <c r="AC438" s="34"/>
    </row>
    <row r="439" spans="1:29" s="1" customFormat="1" x14ac:dyDescent="0.25">
      <c r="B439" s="7"/>
      <c r="C439" s="7"/>
      <c r="D439" s="7"/>
      <c r="E439" s="7"/>
      <c r="F439" s="7"/>
      <c r="G439" s="7"/>
      <c r="H439" s="7"/>
      <c r="I439" s="7"/>
      <c r="J439" s="7"/>
      <c r="K439" s="7"/>
      <c r="L439" s="7"/>
      <c r="M439" s="7"/>
      <c r="N439" s="7"/>
      <c r="O439" s="7"/>
      <c r="P439" s="7"/>
      <c r="Q439" s="7"/>
      <c r="R439" s="7"/>
      <c r="S439" s="7"/>
      <c r="T439" s="7"/>
      <c r="U439" s="34"/>
      <c r="V439" s="34"/>
      <c r="W439" s="34"/>
      <c r="X439" s="34"/>
      <c r="Y439" s="34"/>
      <c r="Z439" s="34"/>
      <c r="AA439" s="34"/>
      <c r="AB439" s="34"/>
      <c r="AC439" s="34"/>
    </row>
    <row r="440" spans="1:29" s="1" customFormat="1" x14ac:dyDescent="0.25">
      <c r="B440" s="7" t="s">
        <v>973</v>
      </c>
      <c r="C440" s="7"/>
      <c r="D440" s="7"/>
      <c r="E440" s="7"/>
      <c r="F440" s="7"/>
      <c r="G440" s="7"/>
      <c r="H440" s="7"/>
      <c r="I440" s="7"/>
      <c r="J440" s="7"/>
      <c r="K440" s="7"/>
      <c r="L440" s="7"/>
      <c r="M440" s="7"/>
      <c r="N440" s="7"/>
      <c r="O440" s="7"/>
      <c r="P440" s="7"/>
      <c r="Q440" s="7"/>
      <c r="R440" s="7"/>
      <c r="S440" s="7"/>
      <c r="T440" s="7"/>
      <c r="U440" s="34"/>
      <c r="V440" s="34"/>
      <c r="W440" s="34"/>
      <c r="X440" s="34"/>
      <c r="Y440" s="34"/>
      <c r="Z440" s="34"/>
      <c r="AA440" s="34"/>
      <c r="AB440" s="34"/>
      <c r="AC440" s="34"/>
    </row>
    <row r="441" spans="1:29" s="7" customFormat="1" x14ac:dyDescent="0.25">
      <c r="B441" s="111" t="s">
        <v>62</v>
      </c>
      <c r="C441" s="111"/>
      <c r="D441" s="111"/>
      <c r="E441" s="111" t="s">
        <v>63</v>
      </c>
      <c r="F441" s="111"/>
      <c r="G441" s="111"/>
      <c r="H441" s="111" t="s">
        <v>64</v>
      </c>
      <c r="I441" s="111"/>
      <c r="J441" s="111"/>
      <c r="K441" s="111" t="s">
        <v>65</v>
      </c>
      <c r="L441" s="111"/>
      <c r="M441" s="111" t="s">
        <v>60</v>
      </c>
      <c r="N441" s="111"/>
      <c r="O441" s="111"/>
      <c r="P441" s="111" t="s">
        <v>61</v>
      </c>
      <c r="Q441" s="111"/>
      <c r="U441" s="34"/>
      <c r="V441" s="34"/>
      <c r="W441" s="34"/>
      <c r="X441" s="34"/>
      <c r="Y441" s="34"/>
      <c r="Z441" s="34"/>
      <c r="AA441" s="34"/>
      <c r="AB441" s="34"/>
      <c r="AC441" s="34"/>
    </row>
    <row r="442" spans="1:29" s="1" customFormat="1" x14ac:dyDescent="0.25">
      <c r="B442" s="210">
        <f>LOOKUP(F405, {1,2,3,4,5,6,7,8,9,10,11,12,13,14,15,16,17,18,19,20,21,22,23,24,25,26,27,28,29,30,31,32,33,34,35,36,37,38,39,40}, {3,6,10,13,16,20,23,26,30,33,38,43,50,58,66,76,86,100,116,133,153,173,200,233,266,306,346,400,466,532,612,692,800,932,1064,1224,1384,1600,1864,2128})</f>
        <v>153</v>
      </c>
      <c r="C442" s="210"/>
      <c r="D442" s="210"/>
      <c r="E442" s="210">
        <f>LOOKUP(F405, {1,2,3,4,5,6,7,8,9,10,11,12,13,14,15,16,17,18,19,20,21,22,23,24,25,26,27,28,29,30,31,32,33,34,35,36,37,38,39,40}, {6,13,20,26,33,40,46,53,60,66,76,86,100,116,133,153,173,200,233,266,306,346,400,466,533,613,693,800,933,1064,1224,1384,1600,1864,2132,2452,2772,3200,3732,4256})</f>
        <v>306</v>
      </c>
      <c r="F442" s="210"/>
      <c r="G442" s="210"/>
      <c r="H442" s="210">
        <f>LOOKUP(F405, {1,2,3,4,5,6,7,8,9,10,11,12,13,14,15,16,17,18,19,20,21,22,23,24,25,26,27,28,29,30,31,32,33,34,35,36,37,38,39,40}, {10,20,30,40,50,60,70,80,90,100,115,130,150,175,200,230,260,300,350,400,460,520,600,700,800,920,1040,1200,1400,1600,1840,2080,2400,2800,3200,3680,4160,4800,5600,6400})</f>
        <v>460</v>
      </c>
      <c r="I442" s="210"/>
      <c r="J442" s="210"/>
      <c r="K442" s="210">
        <v>0</v>
      </c>
      <c r="L442" s="210"/>
      <c r="M442" s="211">
        <v>40</v>
      </c>
      <c r="N442" s="211"/>
      <c r="O442" s="211"/>
      <c r="P442" s="210">
        <f>IF(M442&gt;=30,M442-(IF(B442&gt;=K442,0,10)),M442-(IF(B442&gt;=K442,0,5)))</f>
        <v>40</v>
      </c>
      <c r="Q442" s="210"/>
      <c r="R442" s="17">
        <f>IF(AND(K442&gt;B442,K442&lt;=E442),-3,IF(AND(K442&gt;E442,K442&lt;=H442),-6,0))</f>
        <v>0</v>
      </c>
      <c r="U442" s="34"/>
      <c r="V442" s="34"/>
      <c r="W442" s="34"/>
      <c r="X442" s="34"/>
      <c r="Y442" s="34"/>
      <c r="Z442" s="34"/>
      <c r="AA442" s="34"/>
      <c r="AB442" s="34"/>
      <c r="AC442" s="34"/>
    </row>
    <row r="443" spans="1:29" s="1" customFormat="1" x14ac:dyDescent="0.25">
      <c r="B443" s="7"/>
      <c r="C443" s="7"/>
      <c r="D443" s="7"/>
      <c r="E443" s="7"/>
      <c r="F443" s="7"/>
      <c r="G443" s="7"/>
      <c r="H443" s="7"/>
      <c r="I443" s="7"/>
      <c r="J443" s="7"/>
      <c r="K443" s="7"/>
      <c r="L443" s="7"/>
      <c r="M443" s="7"/>
      <c r="N443" s="7"/>
      <c r="O443" s="7"/>
      <c r="P443" s="7"/>
      <c r="Q443" s="7"/>
      <c r="R443" s="7"/>
      <c r="S443" s="7"/>
      <c r="T443" s="7"/>
      <c r="U443" s="34"/>
      <c r="V443" s="34"/>
      <c r="W443" s="34"/>
      <c r="X443" s="34"/>
      <c r="Y443" s="34"/>
      <c r="Z443" s="34"/>
      <c r="AA443" s="34"/>
      <c r="AB443" s="34"/>
      <c r="AC443" s="34"/>
    </row>
    <row r="444" spans="1:29" s="7" customFormat="1" x14ac:dyDescent="0.25">
      <c r="B444" s="7" t="s">
        <v>92</v>
      </c>
      <c r="U444" s="34"/>
      <c r="V444" s="34"/>
      <c r="W444" s="34"/>
      <c r="X444" s="34"/>
      <c r="Y444" s="34"/>
      <c r="Z444" s="34"/>
      <c r="AA444" s="34"/>
      <c r="AB444" s="34"/>
      <c r="AC444" s="34"/>
    </row>
    <row r="445" spans="1:29" s="7" customFormat="1" ht="15" customHeight="1" x14ac:dyDescent="0.25">
      <c r="B445" s="139" t="s">
        <v>22</v>
      </c>
      <c r="C445" s="140"/>
      <c r="D445" s="140"/>
      <c r="E445" s="141"/>
      <c r="F445" s="139" t="s">
        <v>93</v>
      </c>
      <c r="G445" s="140"/>
      <c r="H445" s="140"/>
      <c r="I445" s="140"/>
      <c r="J445" s="140"/>
      <c r="K445" s="140"/>
      <c r="L445" s="140"/>
      <c r="M445" s="140"/>
      <c r="N445" s="140"/>
      <c r="O445" s="140"/>
      <c r="P445" s="141"/>
      <c r="Q445" s="139" t="s">
        <v>42</v>
      </c>
      <c r="R445" s="140"/>
      <c r="S445" s="141"/>
      <c r="U445" s="34"/>
      <c r="V445" s="34"/>
      <c r="W445" s="34"/>
      <c r="X445" s="34"/>
      <c r="Y445" s="34"/>
      <c r="Z445" s="34"/>
      <c r="AA445" s="34"/>
      <c r="AB445" s="34"/>
      <c r="AC445" s="34"/>
    </row>
    <row r="446" spans="1:29" s="7" customFormat="1" x14ac:dyDescent="0.25">
      <c r="B446" s="128" t="s">
        <v>954</v>
      </c>
      <c r="C446" s="130"/>
      <c r="D446" s="130"/>
      <c r="E446" s="129"/>
      <c r="F446" s="212" t="s">
        <v>983</v>
      </c>
      <c r="G446" s="130"/>
      <c r="H446" s="130"/>
      <c r="I446" s="130"/>
      <c r="J446" s="130"/>
      <c r="K446" s="130"/>
      <c r="L446" s="130"/>
      <c r="M446" s="130"/>
      <c r="N446" s="130"/>
      <c r="O446" s="130"/>
      <c r="P446" s="129"/>
      <c r="Q446" s="128" t="s">
        <v>984</v>
      </c>
      <c r="R446" s="130"/>
      <c r="S446" s="129"/>
      <c r="U446" s="34"/>
      <c r="V446" s="34"/>
      <c r="W446" s="34"/>
      <c r="X446" s="34"/>
      <c r="Y446" s="34"/>
      <c r="Z446" s="34"/>
      <c r="AA446" s="34"/>
      <c r="AB446" s="34"/>
      <c r="AC446" s="34"/>
    </row>
    <row r="447" spans="1:29" s="1" customFormat="1" x14ac:dyDescent="0.25">
      <c r="B447" s="7"/>
      <c r="C447" s="7"/>
      <c r="D447" s="7"/>
      <c r="E447" s="7"/>
      <c r="F447" s="7"/>
      <c r="G447" s="7"/>
      <c r="H447" s="7"/>
      <c r="I447" s="7"/>
      <c r="J447" s="7"/>
      <c r="K447" s="7"/>
      <c r="L447" s="7"/>
      <c r="M447" s="7"/>
      <c r="N447" s="7"/>
      <c r="O447" s="7"/>
      <c r="P447" s="7"/>
      <c r="Q447" s="7"/>
      <c r="R447" s="7"/>
      <c r="S447" s="7"/>
      <c r="T447" s="7"/>
      <c r="U447" s="34"/>
      <c r="V447" s="34"/>
      <c r="W447" s="34"/>
      <c r="X447" s="34"/>
      <c r="Y447" s="34"/>
      <c r="Z447" s="34"/>
      <c r="AA447" s="34"/>
      <c r="AB447" s="34"/>
      <c r="AC447" s="34"/>
    </row>
    <row r="448" spans="1:29" s="7" customFormat="1" ht="15" customHeight="1" x14ac:dyDescent="0.25">
      <c r="B448" s="7" t="s">
        <v>926</v>
      </c>
      <c r="U448" s="34"/>
      <c r="V448" s="34"/>
      <c r="W448" s="34"/>
      <c r="X448" s="34"/>
      <c r="Y448" s="34"/>
      <c r="Z448" s="34"/>
      <c r="AA448" s="34"/>
      <c r="AB448" s="34"/>
      <c r="AC448" s="34"/>
    </row>
    <row r="449" spans="2:29" s="7" customFormat="1" ht="15" customHeight="1" x14ac:dyDescent="0.25">
      <c r="B449" s="139" t="s">
        <v>22</v>
      </c>
      <c r="C449" s="140"/>
      <c r="D449" s="140"/>
      <c r="E449" s="141"/>
      <c r="F449" s="139" t="s">
        <v>93</v>
      </c>
      <c r="G449" s="140"/>
      <c r="H449" s="140"/>
      <c r="I449" s="140"/>
      <c r="J449" s="140"/>
      <c r="K449" s="140"/>
      <c r="L449" s="140"/>
      <c r="M449" s="140"/>
      <c r="N449" s="140"/>
      <c r="O449" s="140"/>
      <c r="P449" s="141"/>
      <c r="Q449" s="139" t="s">
        <v>42</v>
      </c>
      <c r="R449" s="140"/>
      <c r="S449" s="141"/>
      <c r="U449" s="34"/>
      <c r="V449" s="34"/>
      <c r="W449" s="34"/>
      <c r="X449" s="34"/>
      <c r="Y449" s="34"/>
      <c r="Z449" s="34"/>
      <c r="AA449" s="34"/>
      <c r="AB449" s="34"/>
      <c r="AC449" s="34"/>
    </row>
    <row r="450" spans="2:29" s="7" customFormat="1" x14ac:dyDescent="0.25">
      <c r="B450" s="128" t="s">
        <v>985</v>
      </c>
      <c r="C450" s="130"/>
      <c r="D450" s="130"/>
      <c r="E450" s="129"/>
      <c r="F450" s="212" t="s">
        <v>986</v>
      </c>
      <c r="G450" s="130"/>
      <c r="H450" s="130"/>
      <c r="I450" s="130"/>
      <c r="J450" s="130"/>
      <c r="K450" s="130"/>
      <c r="L450" s="130"/>
      <c r="M450" s="130"/>
      <c r="N450" s="130"/>
      <c r="O450" s="130"/>
      <c r="P450" s="129"/>
      <c r="Q450" s="128" t="s">
        <v>984</v>
      </c>
      <c r="R450" s="130"/>
      <c r="S450" s="129"/>
      <c r="U450" s="34"/>
      <c r="V450" s="34"/>
      <c r="W450" s="34"/>
      <c r="X450" s="34"/>
      <c r="Y450" s="34"/>
      <c r="Z450" s="34"/>
      <c r="AA450" s="34"/>
      <c r="AB450" s="34"/>
      <c r="AC450" s="34"/>
    </row>
    <row r="451" spans="2:29" s="1" customFormat="1" x14ac:dyDescent="0.25">
      <c r="B451" s="7"/>
      <c r="C451" s="7"/>
      <c r="D451" s="7"/>
      <c r="E451" s="7"/>
      <c r="F451" s="7"/>
      <c r="G451" s="7"/>
      <c r="H451" s="7"/>
      <c r="I451" s="7"/>
      <c r="J451" s="7"/>
      <c r="K451" s="7"/>
      <c r="L451" s="7"/>
      <c r="M451" s="7"/>
      <c r="N451" s="7"/>
      <c r="O451" s="7"/>
      <c r="P451" s="7"/>
      <c r="Q451" s="7"/>
      <c r="R451" s="7"/>
      <c r="S451" s="7"/>
      <c r="T451" s="7"/>
      <c r="U451" s="34"/>
      <c r="V451" s="34"/>
      <c r="W451" s="34"/>
      <c r="X451" s="34"/>
      <c r="Y451" s="34"/>
      <c r="Z451" s="34"/>
      <c r="AA451" s="34"/>
      <c r="AB451" s="34"/>
      <c r="AC451" s="34"/>
    </row>
    <row r="452" spans="2:29" s="7" customFormat="1" ht="15" customHeight="1" x14ac:dyDescent="0.25">
      <c r="B452" s="7" t="s">
        <v>930</v>
      </c>
      <c r="U452" s="34"/>
      <c r="V452" s="34"/>
      <c r="W452" s="34"/>
      <c r="X452" s="34"/>
      <c r="Y452" s="34"/>
      <c r="Z452" s="34"/>
      <c r="AA452" s="34"/>
      <c r="AB452" s="34"/>
      <c r="AC452" s="34"/>
    </row>
    <row r="453" spans="2:29" s="7" customFormat="1" ht="15" customHeight="1" x14ac:dyDescent="0.25">
      <c r="B453" s="139" t="s">
        <v>22</v>
      </c>
      <c r="C453" s="140"/>
      <c r="D453" s="140"/>
      <c r="E453" s="141"/>
      <c r="F453" s="139" t="s">
        <v>93</v>
      </c>
      <c r="G453" s="140"/>
      <c r="H453" s="140"/>
      <c r="I453" s="140"/>
      <c r="J453" s="140"/>
      <c r="K453" s="140"/>
      <c r="L453" s="140"/>
      <c r="M453" s="140"/>
      <c r="N453" s="140"/>
      <c r="O453" s="140"/>
      <c r="P453" s="141"/>
      <c r="Q453" s="139" t="s">
        <v>42</v>
      </c>
      <c r="R453" s="140"/>
      <c r="S453" s="141"/>
      <c r="U453" s="34"/>
      <c r="V453" s="34"/>
      <c r="W453" s="34"/>
      <c r="X453" s="34"/>
      <c r="Y453" s="34"/>
      <c r="Z453" s="34"/>
      <c r="AA453" s="34"/>
      <c r="AB453" s="34"/>
      <c r="AC453" s="34"/>
    </row>
    <row r="454" spans="2:29" s="7" customFormat="1" x14ac:dyDescent="0.25">
      <c r="B454" s="128" t="s">
        <v>987</v>
      </c>
      <c r="C454" s="130"/>
      <c r="D454" s="130"/>
      <c r="E454" s="129"/>
      <c r="F454" s="212" t="s">
        <v>988</v>
      </c>
      <c r="G454" s="130"/>
      <c r="H454" s="130"/>
      <c r="I454" s="130"/>
      <c r="J454" s="130"/>
      <c r="K454" s="130"/>
      <c r="L454" s="130"/>
      <c r="M454" s="130"/>
      <c r="N454" s="130"/>
      <c r="O454" s="130"/>
      <c r="P454" s="129"/>
      <c r="Q454" s="128" t="s">
        <v>989</v>
      </c>
      <c r="R454" s="130"/>
      <c r="S454" s="129"/>
      <c r="U454" s="34"/>
      <c r="V454" s="34"/>
      <c r="W454" s="34"/>
      <c r="X454" s="34"/>
      <c r="Y454" s="34"/>
      <c r="Z454" s="34"/>
      <c r="AA454" s="34"/>
      <c r="AB454" s="34"/>
      <c r="AC454" s="34"/>
    </row>
    <row r="455" spans="2:29" s="1" customFormat="1" x14ac:dyDescent="0.25">
      <c r="B455" s="7"/>
      <c r="C455" s="7"/>
      <c r="D455" s="7"/>
      <c r="E455" s="7"/>
      <c r="F455" s="7"/>
      <c r="G455" s="7"/>
      <c r="H455" s="7"/>
      <c r="I455" s="7"/>
      <c r="J455" s="7"/>
      <c r="K455" s="7"/>
      <c r="L455" s="7"/>
      <c r="M455" s="7"/>
      <c r="N455" s="7"/>
      <c r="O455" s="7"/>
      <c r="P455" s="7"/>
      <c r="Q455" s="7"/>
      <c r="R455" s="7"/>
      <c r="S455" s="7"/>
      <c r="T455" s="7"/>
      <c r="U455" s="34"/>
      <c r="V455" s="34"/>
      <c r="W455" s="34"/>
      <c r="X455" s="34"/>
      <c r="Y455" s="34"/>
      <c r="Z455" s="34"/>
      <c r="AA455" s="34"/>
      <c r="AB455" s="34"/>
      <c r="AC455" s="34"/>
    </row>
    <row r="456" spans="2:29" s="5" customFormat="1" x14ac:dyDescent="0.25">
      <c r="B456" s="11"/>
      <c r="C456" s="11"/>
      <c r="D456" s="11"/>
      <c r="E456" s="11"/>
      <c r="F456" s="11"/>
      <c r="G456" s="11"/>
      <c r="H456" s="11"/>
      <c r="I456" s="11"/>
      <c r="J456" s="11"/>
      <c r="K456" s="11"/>
      <c r="L456" s="11"/>
      <c r="M456" s="11"/>
      <c r="N456" s="11"/>
      <c r="O456" s="11"/>
      <c r="P456" s="11"/>
      <c r="Q456" s="11"/>
      <c r="R456" s="11"/>
      <c r="S456" s="11"/>
      <c r="T456" s="11"/>
      <c r="U456" s="33"/>
      <c r="V456" s="33"/>
      <c r="W456" s="33"/>
      <c r="X456" s="33"/>
      <c r="Y456" s="33"/>
      <c r="Z456" s="33"/>
      <c r="AA456" s="33"/>
      <c r="AB456" s="33"/>
      <c r="AC456" s="33"/>
    </row>
    <row r="457" spans="2:29" s="1" customFormat="1" x14ac:dyDescent="0.25">
      <c r="B457" s="164" t="s">
        <v>5</v>
      </c>
      <c r="C457" s="164"/>
      <c r="D457" s="128" t="s">
        <v>990</v>
      </c>
      <c r="E457" s="130"/>
      <c r="F457" s="129"/>
      <c r="U457" s="34"/>
      <c r="V457" s="34"/>
      <c r="W457" s="34"/>
      <c r="X457" s="34"/>
      <c r="Y457" s="34"/>
      <c r="Z457" s="34"/>
      <c r="AA457" s="34"/>
      <c r="AB457" s="34"/>
      <c r="AC457" s="34"/>
    </row>
    <row r="458" spans="2:29" s="1" customFormat="1" x14ac:dyDescent="0.25">
      <c r="B458" s="164" t="s">
        <v>208</v>
      </c>
      <c r="C458" s="164"/>
      <c r="D458" s="128" t="s">
        <v>991</v>
      </c>
      <c r="E458" s="130"/>
      <c r="F458" s="129"/>
      <c r="U458" s="34"/>
      <c r="V458" s="34"/>
      <c r="W458" s="34"/>
      <c r="X458" s="34"/>
      <c r="Y458" s="34"/>
      <c r="Z458" s="34"/>
      <c r="AA458" s="34"/>
      <c r="AB458" s="34"/>
      <c r="AC458" s="34"/>
    </row>
    <row r="459" spans="2:29" s="1" customFormat="1" x14ac:dyDescent="0.25">
      <c r="B459" s="164" t="s">
        <v>17</v>
      </c>
      <c r="C459" s="164"/>
      <c r="D459" s="128" t="s">
        <v>83</v>
      </c>
      <c r="E459" s="130"/>
      <c r="F459" s="129"/>
      <c r="U459" s="34"/>
      <c r="V459" s="34"/>
      <c r="W459" s="34"/>
      <c r="X459" s="34"/>
      <c r="Y459" s="34"/>
      <c r="Z459" s="34"/>
      <c r="AA459" s="34"/>
      <c r="AB459" s="34"/>
      <c r="AC459" s="34"/>
    </row>
    <row r="460" spans="2:29" s="1" customFormat="1" x14ac:dyDescent="0.25">
      <c r="B460" s="164" t="s">
        <v>912</v>
      </c>
      <c r="C460" s="164"/>
      <c r="D460" s="128" t="s">
        <v>992</v>
      </c>
      <c r="E460" s="130"/>
      <c r="F460" s="129"/>
      <c r="U460" s="34"/>
      <c r="V460" s="34"/>
      <c r="W460" s="34"/>
      <c r="X460" s="34"/>
      <c r="Y460" s="34"/>
      <c r="Z460" s="34"/>
      <c r="AA460" s="34"/>
      <c r="AB460" s="34"/>
      <c r="AC460" s="34"/>
    </row>
    <row r="461" spans="2:29" s="1" customFormat="1" x14ac:dyDescent="0.25">
      <c r="B461" s="7"/>
      <c r="C461" s="7"/>
      <c r="D461" s="7"/>
      <c r="E461" s="7"/>
      <c r="F461" s="7"/>
      <c r="G461" s="7"/>
      <c r="H461" s="7"/>
      <c r="I461" s="7"/>
      <c r="J461" s="7"/>
      <c r="K461" s="7"/>
      <c r="L461" s="7"/>
      <c r="M461" s="7"/>
      <c r="N461" s="7"/>
      <c r="O461" s="7"/>
      <c r="P461" s="7"/>
      <c r="Q461" s="7"/>
      <c r="R461" s="7"/>
      <c r="S461" s="7"/>
      <c r="T461" s="7"/>
      <c r="U461" s="34"/>
      <c r="V461" s="34"/>
      <c r="W461" s="34"/>
      <c r="X461" s="34"/>
      <c r="Y461" s="34"/>
      <c r="Z461" s="34"/>
      <c r="AA461" s="34"/>
      <c r="AB461" s="34"/>
      <c r="AC461" s="34"/>
    </row>
    <row r="462" spans="2:29" s="1" customFormat="1" x14ac:dyDescent="0.25">
      <c r="B462" s="7" t="s">
        <v>915</v>
      </c>
      <c r="C462" s="7"/>
      <c r="D462" s="7"/>
      <c r="E462" s="7"/>
      <c r="F462" s="7"/>
      <c r="G462" s="7"/>
      <c r="H462" s="7"/>
      <c r="I462" s="7"/>
      <c r="J462" s="7"/>
      <c r="K462" s="7"/>
      <c r="L462" s="7"/>
      <c r="M462" s="7"/>
      <c r="N462" s="7"/>
      <c r="O462" s="7"/>
      <c r="P462" s="7"/>
      <c r="Q462" s="7"/>
      <c r="R462" s="7"/>
      <c r="S462" s="7"/>
      <c r="T462" s="7"/>
      <c r="U462" s="34"/>
      <c r="V462" s="34"/>
      <c r="W462" s="34"/>
      <c r="X462" s="34"/>
      <c r="Y462" s="34"/>
      <c r="Z462" s="34"/>
      <c r="AA462" s="34"/>
      <c r="AB462" s="34"/>
      <c r="AC462" s="34"/>
    </row>
    <row r="463" spans="2:29" s="1" customFormat="1" x14ac:dyDescent="0.25">
      <c r="B463" s="83" t="s">
        <v>22</v>
      </c>
      <c r="C463" s="78" t="s">
        <v>23</v>
      </c>
      <c r="D463" s="83" t="s">
        <v>255</v>
      </c>
      <c r="E463" s="83" t="s">
        <v>254</v>
      </c>
      <c r="F463" s="78" t="s">
        <v>68</v>
      </c>
      <c r="G463" s="78" t="s">
        <v>24</v>
      </c>
      <c r="I463" s="7"/>
      <c r="U463" s="34"/>
      <c r="V463" s="34"/>
      <c r="W463" s="34"/>
      <c r="X463" s="34"/>
      <c r="Y463" s="34"/>
      <c r="Z463" s="34"/>
      <c r="AA463" s="34"/>
      <c r="AB463" s="34"/>
      <c r="AC463" s="34"/>
    </row>
    <row r="464" spans="2:29" s="1" customFormat="1" x14ac:dyDescent="0.25">
      <c r="B464" s="83" t="s">
        <v>25</v>
      </c>
      <c r="C464" s="200">
        <v>15</v>
      </c>
      <c r="D464" s="2">
        <v>0</v>
      </c>
      <c r="E464" s="201">
        <v>0</v>
      </c>
      <c r="F464" s="53">
        <f>(C464+D464+E464+6)</f>
        <v>21</v>
      </c>
      <c r="G464" s="202">
        <f>FLOOR((F464-10)/2,1)</f>
        <v>5</v>
      </c>
      <c r="U464" s="34"/>
      <c r="V464" s="34"/>
      <c r="W464" s="34"/>
      <c r="X464" s="34"/>
      <c r="Y464" s="34"/>
      <c r="Z464" s="34"/>
      <c r="AA464" s="34"/>
      <c r="AB464" s="34"/>
      <c r="AC464" s="34"/>
    </row>
    <row r="465" spans="1:29" s="1" customFormat="1" x14ac:dyDescent="0.25">
      <c r="B465" s="83" t="s">
        <v>26</v>
      </c>
      <c r="C465" s="200">
        <v>15</v>
      </c>
      <c r="D465" s="2">
        <v>0</v>
      </c>
      <c r="E465" s="201">
        <v>0</v>
      </c>
      <c r="F465" s="53">
        <f t="shared" ref="F465" si="18">(C465+D465+E465)</f>
        <v>15</v>
      </c>
      <c r="G465" s="202">
        <f t="shared" ref="G465:G466" si="19">FLOOR((F465-10)/2,1)</f>
        <v>2</v>
      </c>
      <c r="U465" s="34"/>
      <c r="V465" s="34"/>
      <c r="W465" s="34"/>
      <c r="X465" s="34"/>
      <c r="Y465" s="34"/>
      <c r="Z465" s="34"/>
      <c r="AA465" s="34"/>
      <c r="AB465" s="34"/>
      <c r="AC465" s="34"/>
    </row>
    <row r="466" spans="1:29" s="1" customFormat="1" x14ac:dyDescent="0.25">
      <c r="B466" s="8" t="s">
        <v>27</v>
      </c>
      <c r="C466" s="200">
        <v>13</v>
      </c>
      <c r="D466" s="2">
        <v>0</v>
      </c>
      <c r="E466" s="201">
        <v>0</v>
      </c>
      <c r="F466" s="53">
        <f>(C466+D466+E466+6)</f>
        <v>19</v>
      </c>
      <c r="G466" s="202">
        <f t="shared" si="19"/>
        <v>4</v>
      </c>
      <c r="U466" s="34"/>
      <c r="V466" s="34"/>
      <c r="W466" s="34"/>
      <c r="X466" s="34"/>
      <c r="Y466" s="34"/>
      <c r="Z466" s="34"/>
      <c r="AA466" s="34"/>
      <c r="AB466" s="34"/>
      <c r="AC466" s="34"/>
    </row>
    <row r="467" spans="1:29" s="1" customFormat="1" x14ac:dyDescent="0.25">
      <c r="B467" s="7"/>
      <c r="C467" s="7"/>
      <c r="D467" s="7"/>
      <c r="E467" s="7"/>
      <c r="F467" s="7"/>
      <c r="G467" s="7"/>
      <c r="H467" s="7"/>
      <c r="I467" s="7"/>
      <c r="J467" s="7"/>
      <c r="K467" s="7"/>
      <c r="L467" s="7"/>
      <c r="M467" s="7"/>
      <c r="N467" s="7"/>
      <c r="O467" s="7"/>
      <c r="P467" s="7"/>
      <c r="Q467" s="7"/>
      <c r="R467" s="7"/>
      <c r="S467" s="7"/>
      <c r="T467" s="7"/>
      <c r="U467" s="34"/>
      <c r="V467" s="34"/>
      <c r="W467" s="34"/>
      <c r="X467" s="34"/>
      <c r="Y467" s="34"/>
      <c r="Z467" s="34"/>
      <c r="AA467" s="34"/>
      <c r="AB467" s="34"/>
      <c r="AC467" s="34"/>
    </row>
    <row r="468" spans="1:29" s="1" customFormat="1" x14ac:dyDescent="0.25">
      <c r="B468" s="7" t="s">
        <v>934</v>
      </c>
      <c r="U468" s="34"/>
      <c r="V468" s="34"/>
      <c r="W468" s="34"/>
      <c r="X468" s="34"/>
      <c r="Y468" s="34"/>
      <c r="Z468" s="34"/>
      <c r="AA468" s="34"/>
      <c r="AB468" s="34"/>
      <c r="AC468" s="34"/>
    </row>
    <row r="469" spans="1:29" s="7" customFormat="1" x14ac:dyDescent="0.25">
      <c r="B469" s="83" t="s">
        <v>31</v>
      </c>
      <c r="C469" s="213">
        <f>(F469+I469+L469+O469)</f>
        <v>9</v>
      </c>
      <c r="D469" s="111" t="s">
        <v>34</v>
      </c>
      <c r="E469" s="111"/>
      <c r="F469" s="214">
        <v>5</v>
      </c>
      <c r="G469" s="215" t="s">
        <v>935</v>
      </c>
      <c r="H469" s="216"/>
      <c r="I469" s="213">
        <f>G466</f>
        <v>4</v>
      </c>
      <c r="J469" s="111" t="s">
        <v>936</v>
      </c>
      <c r="K469" s="111"/>
      <c r="L469" s="214"/>
      <c r="M469" s="111" t="s">
        <v>937</v>
      </c>
      <c r="N469" s="111"/>
      <c r="O469" s="214"/>
      <c r="U469" s="34"/>
      <c r="V469" s="34"/>
      <c r="W469" s="34"/>
      <c r="X469" s="34"/>
      <c r="Y469" s="34"/>
      <c r="Z469" s="34"/>
      <c r="AA469" s="34"/>
      <c r="AB469" s="34"/>
      <c r="AC469" s="34"/>
    </row>
    <row r="470" spans="1:29" s="7" customFormat="1" x14ac:dyDescent="0.25">
      <c r="B470" s="78" t="s">
        <v>32</v>
      </c>
      <c r="C470" s="213">
        <f>(F470+I470+L470+O470)</f>
        <v>5</v>
      </c>
      <c r="D470" s="111" t="s">
        <v>34</v>
      </c>
      <c r="E470" s="111"/>
      <c r="F470" s="214">
        <v>3</v>
      </c>
      <c r="G470" s="164" t="s">
        <v>70</v>
      </c>
      <c r="H470" s="164"/>
      <c r="I470" s="213">
        <f>IF(G465&gt;G482,G482,G465)</f>
        <v>2</v>
      </c>
      <c r="J470" s="111" t="s">
        <v>936</v>
      </c>
      <c r="K470" s="111"/>
      <c r="L470" s="214"/>
      <c r="M470" s="111" t="s">
        <v>937</v>
      </c>
      <c r="N470" s="111"/>
      <c r="O470" s="214"/>
      <c r="U470" s="34"/>
      <c r="V470" s="34"/>
      <c r="W470" s="34"/>
      <c r="X470" s="34"/>
      <c r="Y470" s="34"/>
      <c r="Z470" s="34"/>
      <c r="AA470" s="34"/>
      <c r="AB470" s="34"/>
      <c r="AC470" s="34"/>
    </row>
    <row r="471" spans="1:29" s="7" customFormat="1" x14ac:dyDescent="0.25">
      <c r="B471" s="78" t="s">
        <v>33</v>
      </c>
      <c r="C471" s="213">
        <f>(F471+I471+L471+O471)</f>
        <v>5</v>
      </c>
      <c r="D471" s="111" t="s">
        <v>34</v>
      </c>
      <c r="E471" s="111"/>
      <c r="F471" s="214">
        <v>1</v>
      </c>
      <c r="G471" s="164" t="s">
        <v>935</v>
      </c>
      <c r="H471" s="164"/>
      <c r="I471" s="213">
        <f>G466</f>
        <v>4</v>
      </c>
      <c r="J471" s="111" t="s">
        <v>936</v>
      </c>
      <c r="K471" s="111"/>
      <c r="L471" s="214"/>
      <c r="M471" s="111" t="s">
        <v>937</v>
      </c>
      <c r="N471" s="111"/>
      <c r="O471" s="214"/>
      <c r="U471" s="34"/>
      <c r="V471" s="34"/>
      <c r="W471" s="34"/>
      <c r="X471" s="34"/>
      <c r="Y471" s="34"/>
      <c r="Z471" s="34"/>
      <c r="AA471" s="34"/>
      <c r="AB471" s="34"/>
      <c r="AC471" s="34"/>
    </row>
    <row r="472" spans="1:29" s="1" customFormat="1" x14ac:dyDescent="0.25">
      <c r="U472" s="34"/>
      <c r="V472" s="34"/>
      <c r="W472" s="34"/>
      <c r="X472" s="34"/>
      <c r="Y472" s="34"/>
      <c r="Z472" s="34"/>
      <c r="AA472" s="34"/>
      <c r="AB472" s="34"/>
      <c r="AC472" s="34"/>
    </row>
    <row r="473" spans="1:29" s="1" customFormat="1" x14ac:dyDescent="0.25">
      <c r="B473" s="7" t="s">
        <v>916</v>
      </c>
      <c r="C473" s="7"/>
      <c r="D473" s="7"/>
      <c r="E473" s="7"/>
      <c r="F473" s="7"/>
      <c r="G473" s="7"/>
      <c r="H473" s="7"/>
      <c r="I473" s="7"/>
      <c r="J473" s="7"/>
      <c r="K473" s="7"/>
      <c r="L473" s="7"/>
      <c r="M473" s="7"/>
      <c r="N473" s="7"/>
      <c r="O473" s="7"/>
      <c r="P473" s="7"/>
      <c r="Q473" s="7"/>
      <c r="R473" s="7"/>
      <c r="S473" s="7"/>
      <c r="T473" s="7"/>
      <c r="U473" s="34"/>
      <c r="V473" s="34"/>
      <c r="W473" s="34"/>
      <c r="X473" s="34"/>
      <c r="Y473" s="34"/>
      <c r="Z473" s="34"/>
      <c r="AA473" s="34"/>
      <c r="AB473" s="34"/>
      <c r="AC473" s="34"/>
    </row>
    <row r="474" spans="1:29" s="1" customFormat="1" x14ac:dyDescent="0.25">
      <c r="A474" s="7"/>
      <c r="B474" s="85" t="s">
        <v>74</v>
      </c>
      <c r="C474" s="85"/>
      <c r="D474" s="27">
        <f>(G465+J474)</f>
        <v>2</v>
      </c>
      <c r="E474" s="85" t="s">
        <v>70</v>
      </c>
      <c r="F474" s="85"/>
      <c r="G474" s="27">
        <f>IF(G465&gt;G482,G482,G465)</f>
        <v>2</v>
      </c>
      <c r="H474" s="85" t="s">
        <v>39</v>
      </c>
      <c r="I474" s="85"/>
      <c r="J474" s="203"/>
      <c r="K474" s="7"/>
      <c r="L474" s="7"/>
      <c r="M474" s="7"/>
      <c r="N474" s="7"/>
      <c r="O474" s="7"/>
      <c r="P474" s="7"/>
      <c r="Q474" s="7"/>
      <c r="R474" s="7"/>
      <c r="S474" s="7"/>
      <c r="T474" s="7"/>
      <c r="U474" s="34"/>
      <c r="V474" s="34"/>
      <c r="W474" s="34"/>
      <c r="X474" s="34"/>
      <c r="Y474" s="34"/>
      <c r="Z474" s="34"/>
      <c r="AA474" s="34"/>
      <c r="AB474" s="34"/>
      <c r="AC474" s="34"/>
    </row>
    <row r="475" spans="1:29" s="1" customFormat="1" x14ac:dyDescent="0.25">
      <c r="A475" s="7"/>
      <c r="B475" s="7"/>
      <c r="C475" s="7"/>
      <c r="D475" s="34"/>
      <c r="E475" s="7"/>
      <c r="F475" s="7"/>
      <c r="G475" s="34"/>
      <c r="H475" s="7"/>
      <c r="I475" s="7"/>
      <c r="J475" s="7"/>
      <c r="K475" s="7"/>
      <c r="L475" s="7"/>
      <c r="M475" s="7"/>
      <c r="N475" s="7"/>
      <c r="O475" s="7"/>
      <c r="P475" s="7"/>
      <c r="Q475" s="7"/>
      <c r="R475" s="7"/>
      <c r="S475" s="7"/>
      <c r="T475" s="7"/>
      <c r="U475" s="34"/>
      <c r="V475" s="34"/>
      <c r="W475" s="34"/>
      <c r="X475" s="34"/>
      <c r="Y475" s="34"/>
      <c r="Z475" s="34"/>
      <c r="AA475" s="34"/>
      <c r="AB475" s="34"/>
      <c r="AC475" s="34"/>
    </row>
    <row r="476" spans="1:29" s="1" customFormat="1" x14ac:dyDescent="0.25">
      <c r="A476" s="7"/>
      <c r="B476" s="131" t="s">
        <v>75</v>
      </c>
      <c r="C476" s="133"/>
      <c r="D476" s="29">
        <f>(G476+J476+M476+P476)</f>
        <v>8</v>
      </c>
      <c r="E476" s="131" t="s">
        <v>71</v>
      </c>
      <c r="F476" s="133"/>
      <c r="G476" s="27">
        <v>3</v>
      </c>
      <c r="H476" s="131" t="s">
        <v>72</v>
      </c>
      <c r="I476" s="133"/>
      <c r="J476" s="29">
        <f>G464</f>
        <v>5</v>
      </c>
      <c r="K476" s="131" t="s">
        <v>73</v>
      </c>
      <c r="L476" s="133"/>
      <c r="M476" s="29">
        <f>VLOOKUP(D459,SizeTable,2,FALSE)</f>
        <v>0</v>
      </c>
      <c r="N476" s="131" t="s">
        <v>39</v>
      </c>
      <c r="O476" s="133"/>
      <c r="P476" s="27"/>
      <c r="Q476" s="7"/>
      <c r="R476" s="7"/>
      <c r="S476" s="7"/>
      <c r="T476" s="7"/>
      <c r="U476" s="34"/>
      <c r="V476" s="34"/>
      <c r="W476" s="34"/>
      <c r="X476" s="34"/>
      <c r="Y476" s="34"/>
      <c r="Z476" s="34"/>
      <c r="AA476" s="34"/>
      <c r="AB476" s="34"/>
      <c r="AC476" s="34"/>
    </row>
    <row r="477" spans="1:29" s="1" customFormat="1" x14ac:dyDescent="0.25">
      <c r="A477" s="7"/>
      <c r="B477" s="131" t="s">
        <v>76</v>
      </c>
      <c r="C477" s="133"/>
      <c r="D477" s="29">
        <f>(G477+J477+M477+P477)</f>
        <v>3</v>
      </c>
      <c r="E477" s="131" t="s">
        <v>71</v>
      </c>
      <c r="F477" s="133"/>
      <c r="G477" s="29">
        <f>G476</f>
        <v>3</v>
      </c>
      <c r="H477" s="131" t="s">
        <v>36</v>
      </c>
      <c r="I477" s="133"/>
      <c r="J477" s="29">
        <f>IF(G465&gt;G482,G482,G465)</f>
        <v>2</v>
      </c>
      <c r="K477" s="131" t="s">
        <v>73</v>
      </c>
      <c r="L477" s="133"/>
      <c r="M477" s="29">
        <f>VLOOKUP(D459,SizeTable,2,FALSE)</f>
        <v>0</v>
      </c>
      <c r="N477" s="131" t="s">
        <v>39</v>
      </c>
      <c r="O477" s="133"/>
      <c r="P477" s="27">
        <v>-2</v>
      </c>
      <c r="Q477" s="7"/>
      <c r="R477" s="7"/>
      <c r="S477" s="7"/>
      <c r="T477" s="7"/>
      <c r="U477" s="34"/>
      <c r="V477" s="34"/>
      <c r="W477" s="34"/>
      <c r="X477" s="34"/>
      <c r="Y477" s="34"/>
      <c r="Z477" s="34"/>
      <c r="AA477" s="34"/>
      <c r="AB477" s="34"/>
      <c r="AC477" s="34"/>
    </row>
    <row r="478" spans="1:29" s="1" customFormat="1" x14ac:dyDescent="0.25">
      <c r="A478" s="7"/>
      <c r="B478" s="131" t="s">
        <v>77</v>
      </c>
      <c r="C478" s="133"/>
      <c r="D478" s="29">
        <f>(G478+J478+M478+P478)</f>
        <v>8</v>
      </c>
      <c r="E478" s="131" t="s">
        <v>71</v>
      </c>
      <c r="F478" s="133"/>
      <c r="G478" s="29">
        <f>G477</f>
        <v>3</v>
      </c>
      <c r="H478" s="131" t="s">
        <v>72</v>
      </c>
      <c r="I478" s="133"/>
      <c r="J478" s="29">
        <f>G464</f>
        <v>5</v>
      </c>
      <c r="K478" s="131" t="s">
        <v>73</v>
      </c>
      <c r="L478" s="133"/>
      <c r="M478" s="29">
        <f>LOOKUP(VLOOKUP(D459,SizeTable,2,FALSE), {-8,-4,-2,-1,0,1,2,4,8},{16,12,8,4,0,-4,-8,-12,-16})</f>
        <v>0</v>
      </c>
      <c r="N478" s="131" t="s">
        <v>39</v>
      </c>
      <c r="O478" s="133"/>
      <c r="P478" s="27"/>
      <c r="Q478" s="7"/>
      <c r="R478" s="7"/>
      <c r="S478" s="7"/>
      <c r="T478" s="7"/>
      <c r="U478" s="34"/>
      <c r="V478" s="34"/>
      <c r="W478" s="34"/>
      <c r="X478" s="34"/>
      <c r="Y478" s="34"/>
      <c r="Z478" s="34"/>
      <c r="AA478" s="34"/>
      <c r="AB478" s="34"/>
      <c r="AC478" s="34"/>
    </row>
    <row r="479" spans="1:29" s="1" customFormat="1" x14ac:dyDescent="0.25">
      <c r="A479" s="7"/>
      <c r="B479" s="7"/>
      <c r="C479" s="7"/>
      <c r="D479" s="34"/>
      <c r="E479" s="7"/>
      <c r="F479" s="7"/>
      <c r="G479" s="34"/>
      <c r="H479" s="7"/>
      <c r="I479" s="7"/>
      <c r="J479" s="34"/>
      <c r="K479" s="7"/>
      <c r="L479" s="7"/>
      <c r="M479" s="34"/>
      <c r="N479" s="7"/>
      <c r="O479" s="7"/>
      <c r="P479" s="34"/>
      <c r="Q479" s="7"/>
      <c r="R479" s="7"/>
      <c r="S479" s="7"/>
      <c r="T479" s="7"/>
      <c r="U479" s="34"/>
      <c r="V479" s="34"/>
      <c r="W479" s="34"/>
      <c r="X479" s="34"/>
      <c r="Y479" s="34"/>
      <c r="Z479" s="34"/>
      <c r="AA479" s="34"/>
      <c r="AB479" s="34"/>
      <c r="AC479" s="34"/>
    </row>
    <row r="480" spans="1:29" s="1" customFormat="1" x14ac:dyDescent="0.25">
      <c r="A480" s="7"/>
      <c r="B480" s="85" t="s">
        <v>10</v>
      </c>
      <c r="C480" s="85"/>
      <c r="D480" s="29">
        <f>(10+G480+J480+M480+P480+J481+M481+P481+M482)</f>
        <v>15</v>
      </c>
      <c r="E480" s="85" t="s">
        <v>78</v>
      </c>
      <c r="F480" s="85"/>
      <c r="G480" s="29">
        <v>0</v>
      </c>
      <c r="H480" s="85" t="s">
        <v>36</v>
      </c>
      <c r="I480" s="85"/>
      <c r="J480" s="29">
        <f>IF(G465&gt;G482,G482,G465)</f>
        <v>2</v>
      </c>
      <c r="K480" s="85" t="s">
        <v>73</v>
      </c>
      <c r="L480" s="85"/>
      <c r="M480" s="29">
        <f>VLOOKUP(D459,SizeTable,2,FALSE)</f>
        <v>0</v>
      </c>
      <c r="N480" s="85" t="s">
        <v>79</v>
      </c>
      <c r="O480" s="85"/>
      <c r="P480" s="27">
        <v>0</v>
      </c>
      <c r="Q480" s="7"/>
      <c r="R480" s="7"/>
      <c r="S480" s="7"/>
      <c r="T480" s="7"/>
      <c r="U480" s="34"/>
      <c r="V480" s="34"/>
      <c r="W480" s="34"/>
      <c r="X480" s="34"/>
      <c r="Y480" s="34"/>
      <c r="Z480" s="34"/>
      <c r="AA480" s="34"/>
      <c r="AB480" s="34"/>
      <c r="AC480" s="34"/>
    </row>
    <row r="481" spans="1:29" s="1" customFormat="1" x14ac:dyDescent="0.25">
      <c r="A481" s="7"/>
      <c r="B481" s="131" t="s">
        <v>82</v>
      </c>
      <c r="C481" s="133"/>
      <c r="D481" s="29">
        <f>(10+J480+M480+J481+P481+M482)</f>
        <v>12</v>
      </c>
      <c r="E481" s="94" t="s">
        <v>177</v>
      </c>
      <c r="F481" s="96"/>
      <c r="G481" s="29">
        <f>(10+G480+M480+P480+J481+M481+P481)</f>
        <v>13</v>
      </c>
      <c r="H481" s="149" t="s">
        <v>81</v>
      </c>
      <c r="I481" s="150"/>
      <c r="J481" s="27">
        <v>0</v>
      </c>
      <c r="K481" s="85" t="s">
        <v>80</v>
      </c>
      <c r="L481" s="85"/>
      <c r="M481" s="27">
        <v>3</v>
      </c>
      <c r="N481" s="85" t="s">
        <v>39</v>
      </c>
      <c r="O481" s="85"/>
      <c r="P481" s="27">
        <v>0</v>
      </c>
      <c r="Q481" s="7"/>
      <c r="R481" s="7"/>
      <c r="S481" s="7"/>
      <c r="T481" s="7"/>
      <c r="U481" s="34"/>
      <c r="V481" s="34"/>
      <c r="W481" s="34"/>
      <c r="X481" s="34"/>
      <c r="Y481" s="34"/>
      <c r="Z481" s="34"/>
      <c r="AA481" s="34"/>
      <c r="AB481" s="34"/>
      <c r="AC481" s="34"/>
    </row>
    <row r="482" spans="1:29" s="1" customFormat="1" x14ac:dyDescent="0.25">
      <c r="A482" s="7"/>
      <c r="B482" s="189" t="s">
        <v>14</v>
      </c>
      <c r="C482" s="189"/>
      <c r="D482" s="79">
        <v>0</v>
      </c>
      <c r="E482" s="131" t="s">
        <v>15</v>
      </c>
      <c r="F482" s="133"/>
      <c r="G482" s="29">
        <v>4</v>
      </c>
      <c r="H482" s="149" t="s">
        <v>16</v>
      </c>
      <c r="I482" s="150"/>
      <c r="J482" s="30">
        <v>0</v>
      </c>
      <c r="K482" s="131" t="s">
        <v>84</v>
      </c>
      <c r="L482" s="133"/>
      <c r="M482" s="27">
        <v>0</v>
      </c>
      <c r="N482" s="7"/>
      <c r="O482" s="7"/>
      <c r="P482" s="7"/>
      <c r="Q482" s="7"/>
      <c r="R482" s="7"/>
      <c r="S482" s="7"/>
      <c r="T482" s="7"/>
      <c r="U482" s="34"/>
      <c r="V482" s="34"/>
      <c r="W482" s="34"/>
      <c r="X482" s="34"/>
      <c r="Y482" s="34"/>
      <c r="Z482" s="34"/>
      <c r="AA482" s="34"/>
      <c r="AB482" s="34"/>
      <c r="AC482" s="34"/>
    </row>
    <row r="483" spans="1:29" s="1" customFormat="1" x14ac:dyDescent="0.25">
      <c r="A483" s="7"/>
      <c r="B483" s="105" t="s">
        <v>243</v>
      </c>
      <c r="C483" s="107"/>
      <c r="D483" s="207"/>
      <c r="E483" s="208"/>
      <c r="F483" s="208"/>
      <c r="G483" s="208"/>
      <c r="H483" s="208"/>
      <c r="I483" s="208"/>
      <c r="J483" s="208"/>
      <c r="K483" s="208"/>
      <c r="L483" s="208"/>
      <c r="M483" s="208"/>
      <c r="N483" s="208"/>
      <c r="O483" s="208"/>
      <c r="P483" s="209"/>
      <c r="Q483" s="7"/>
      <c r="R483" s="7"/>
      <c r="S483" s="7"/>
      <c r="T483" s="7"/>
      <c r="U483" s="34"/>
      <c r="V483" s="34"/>
      <c r="W483" s="34"/>
      <c r="X483" s="34"/>
      <c r="Y483" s="34"/>
      <c r="Z483" s="34"/>
      <c r="AA483" s="34"/>
      <c r="AB483" s="34"/>
      <c r="AC483" s="34"/>
    </row>
    <row r="484" spans="1:29" s="1" customFormat="1" x14ac:dyDescent="0.25">
      <c r="A484" s="7"/>
      <c r="B484" s="7"/>
      <c r="C484" s="7"/>
      <c r="D484" s="7"/>
      <c r="E484" s="7"/>
      <c r="F484" s="7"/>
      <c r="G484" s="7"/>
      <c r="H484" s="7"/>
      <c r="I484" s="7"/>
      <c r="J484" s="7"/>
      <c r="K484" s="7"/>
      <c r="L484" s="7"/>
      <c r="M484" s="7"/>
      <c r="N484" s="7"/>
      <c r="O484" s="7"/>
      <c r="P484" s="7"/>
      <c r="Q484" s="7"/>
      <c r="R484" s="7"/>
      <c r="S484" s="7"/>
      <c r="T484" s="7"/>
      <c r="U484" s="34"/>
      <c r="V484" s="34"/>
      <c r="W484" s="34"/>
      <c r="X484" s="34"/>
      <c r="Y484" s="34"/>
      <c r="Z484" s="34"/>
      <c r="AA484" s="34"/>
      <c r="AB484" s="34"/>
      <c r="AC484" s="34"/>
    </row>
    <row r="485" spans="1:29" s="1" customFormat="1" x14ac:dyDescent="0.25">
      <c r="A485" s="7"/>
      <c r="B485" s="85" t="s">
        <v>85</v>
      </c>
      <c r="C485" s="85"/>
      <c r="D485" s="97" t="s">
        <v>905</v>
      </c>
      <c r="E485" s="148"/>
      <c r="F485" s="98"/>
      <c r="G485" s="85" t="s">
        <v>86</v>
      </c>
      <c r="H485" s="85"/>
      <c r="I485" s="27">
        <f>D476</f>
        <v>8</v>
      </c>
      <c r="J485" s="82" t="s">
        <v>87</v>
      </c>
      <c r="K485" s="203" t="str">
        <f>"2d6+"&amp;FLOOR(G464*1.5,1)</f>
        <v>2d6+7</v>
      </c>
      <c r="L485" s="82" t="s">
        <v>88</v>
      </c>
      <c r="M485" s="203" t="s">
        <v>962</v>
      </c>
      <c r="N485" s="7"/>
      <c r="O485" s="7"/>
      <c r="P485" s="7"/>
      <c r="Q485" s="7"/>
      <c r="R485" s="7"/>
      <c r="S485" s="7"/>
      <c r="T485" s="7"/>
      <c r="U485" s="34"/>
      <c r="V485" s="34"/>
      <c r="W485" s="34"/>
      <c r="X485" s="34"/>
      <c r="Y485" s="34"/>
      <c r="Z485" s="34"/>
      <c r="AA485" s="34"/>
      <c r="AB485" s="34"/>
      <c r="AC485" s="34"/>
    </row>
    <row r="486" spans="1:29" s="1" customFormat="1" x14ac:dyDescent="0.25">
      <c r="A486" s="7"/>
      <c r="B486" s="85" t="s">
        <v>85</v>
      </c>
      <c r="C486" s="85"/>
      <c r="D486" s="97" t="s">
        <v>963</v>
      </c>
      <c r="E486" s="148"/>
      <c r="F486" s="98"/>
      <c r="G486" s="85" t="s">
        <v>86</v>
      </c>
      <c r="H486" s="85"/>
      <c r="I486" s="27">
        <f>D476</f>
        <v>8</v>
      </c>
      <c r="J486" s="82" t="s">
        <v>87</v>
      </c>
      <c r="K486" s="203" t="str">
        <f>"1d8+"&amp;G464</f>
        <v>1d8+5</v>
      </c>
      <c r="L486" s="82" t="s">
        <v>88</v>
      </c>
      <c r="M486" s="203" t="s">
        <v>962</v>
      </c>
      <c r="N486" s="7"/>
      <c r="O486" s="7"/>
      <c r="P486" s="7"/>
      <c r="Q486" s="7"/>
      <c r="R486" s="7"/>
      <c r="S486" s="7"/>
      <c r="T486" s="7"/>
      <c r="U486" s="34"/>
      <c r="V486" s="34"/>
      <c r="W486" s="34"/>
      <c r="X486" s="34"/>
      <c r="Y486" s="34"/>
      <c r="Z486" s="34"/>
      <c r="AA486" s="34"/>
      <c r="AB486" s="34"/>
      <c r="AC486" s="34"/>
    </row>
    <row r="487" spans="1:29" s="1" customFormat="1" x14ac:dyDescent="0.25">
      <c r="A487" s="7"/>
      <c r="B487" s="85" t="s">
        <v>85</v>
      </c>
      <c r="C487" s="85"/>
      <c r="D487" s="97" t="s">
        <v>964</v>
      </c>
      <c r="E487" s="148"/>
      <c r="F487" s="98"/>
      <c r="G487" s="85" t="s">
        <v>86</v>
      </c>
      <c r="H487" s="85"/>
      <c r="I487" s="27">
        <f>D476</f>
        <v>8</v>
      </c>
      <c r="J487" s="82" t="s">
        <v>87</v>
      </c>
      <c r="K487" s="203" t="str">
        <f>"1d8+"&amp;FLOOR(G464*1.5,1)</f>
        <v>1d8+7</v>
      </c>
      <c r="L487" s="82" t="s">
        <v>88</v>
      </c>
      <c r="M487" s="203" t="s">
        <v>962</v>
      </c>
      <c r="N487" s="7"/>
      <c r="O487" s="7"/>
      <c r="P487" s="7"/>
      <c r="Q487" s="7"/>
      <c r="R487" s="7"/>
      <c r="S487" s="7"/>
      <c r="T487" s="7"/>
      <c r="U487" s="34"/>
      <c r="V487" s="34"/>
      <c r="W487" s="34"/>
      <c r="X487" s="34"/>
      <c r="Y487" s="34"/>
      <c r="Z487" s="34"/>
      <c r="AA487" s="34"/>
      <c r="AB487" s="34"/>
      <c r="AC487" s="34"/>
    </row>
    <row r="488" spans="1:29" s="1" customFormat="1" x14ac:dyDescent="0.25">
      <c r="A488" s="7"/>
      <c r="B488" s="85" t="s">
        <v>85</v>
      </c>
      <c r="C488" s="85"/>
      <c r="D488" s="97" t="s">
        <v>836</v>
      </c>
      <c r="E488" s="148"/>
      <c r="F488" s="98"/>
      <c r="G488" s="85" t="s">
        <v>86</v>
      </c>
      <c r="H488" s="85"/>
      <c r="I488" s="27">
        <f>D476</f>
        <v>8</v>
      </c>
      <c r="J488" s="82" t="s">
        <v>87</v>
      </c>
      <c r="K488" s="203" t="str">
        <f>"2d4+"&amp;FLOOR(G464*1.5,1)</f>
        <v>2d4+7</v>
      </c>
      <c r="L488" s="82" t="s">
        <v>88</v>
      </c>
      <c r="M488" s="203" t="s">
        <v>965</v>
      </c>
      <c r="N488" s="7"/>
      <c r="O488" s="7"/>
      <c r="P488" s="7"/>
      <c r="Q488" s="7"/>
      <c r="R488" s="7"/>
      <c r="S488" s="7"/>
      <c r="T488" s="7"/>
      <c r="U488" s="34"/>
      <c r="V488" s="34"/>
      <c r="W488" s="34"/>
      <c r="X488" s="34"/>
      <c r="Y488" s="34"/>
      <c r="Z488" s="34"/>
      <c r="AA488" s="34"/>
      <c r="AB488" s="34"/>
      <c r="AC488" s="34"/>
    </row>
    <row r="489" spans="1:29" s="1" customFormat="1" x14ac:dyDescent="0.25">
      <c r="A489" s="7"/>
      <c r="B489" s="85" t="s">
        <v>90</v>
      </c>
      <c r="C489" s="85"/>
      <c r="D489" s="97" t="s">
        <v>907</v>
      </c>
      <c r="E489" s="148"/>
      <c r="F489" s="98"/>
      <c r="G489" s="85" t="s">
        <v>86</v>
      </c>
      <c r="H489" s="85"/>
      <c r="I489" s="27">
        <f>D477</f>
        <v>3</v>
      </c>
      <c r="J489" s="82" t="s">
        <v>87</v>
      </c>
      <c r="K489" s="203" t="s">
        <v>802</v>
      </c>
      <c r="L489" s="82" t="s">
        <v>88</v>
      </c>
      <c r="M489" s="203" t="s">
        <v>962</v>
      </c>
      <c r="N489" s="85" t="s">
        <v>89</v>
      </c>
      <c r="O489" s="85"/>
      <c r="P489" s="203" t="s">
        <v>966</v>
      </c>
      <c r="Q489" s="7"/>
      <c r="R489" s="7"/>
      <c r="S489" s="7"/>
      <c r="T489" s="7"/>
      <c r="U489" s="34"/>
      <c r="V489" s="34"/>
      <c r="W489" s="34"/>
      <c r="X489" s="34"/>
      <c r="Y489" s="34"/>
      <c r="Z489" s="34"/>
      <c r="AA489" s="34"/>
      <c r="AB489" s="34"/>
      <c r="AC489" s="34"/>
    </row>
    <row r="490" spans="1:29" s="1" customFormat="1" x14ac:dyDescent="0.25">
      <c r="B490" s="7"/>
      <c r="C490" s="7"/>
      <c r="D490" s="7"/>
      <c r="E490" s="7"/>
      <c r="F490" s="7"/>
      <c r="G490" s="7"/>
      <c r="H490" s="7"/>
      <c r="I490" s="7"/>
      <c r="J490" s="7"/>
      <c r="K490" s="7"/>
      <c r="L490" s="7"/>
      <c r="M490" s="7"/>
      <c r="N490" s="7"/>
      <c r="O490" s="7"/>
      <c r="P490" s="7"/>
      <c r="Q490" s="7"/>
      <c r="R490" s="7"/>
      <c r="S490" s="7"/>
      <c r="T490" s="7"/>
      <c r="U490" s="34"/>
      <c r="V490" s="34"/>
      <c r="W490" s="34"/>
      <c r="X490" s="34"/>
      <c r="Y490" s="34"/>
      <c r="Z490" s="34"/>
      <c r="AA490" s="34"/>
      <c r="AB490" s="34"/>
      <c r="AC490" s="34"/>
    </row>
    <row r="491" spans="1:29" s="1" customFormat="1" x14ac:dyDescent="0.25">
      <c r="B491" s="7" t="s">
        <v>938</v>
      </c>
      <c r="C491" s="7"/>
      <c r="D491" s="7"/>
      <c r="E491" s="7"/>
      <c r="F491" s="7"/>
      <c r="G491" s="7"/>
      <c r="H491" s="7"/>
      <c r="I491" s="7"/>
      <c r="J491" s="7"/>
      <c r="K491" s="7"/>
      <c r="L491" s="7"/>
      <c r="M491" s="7"/>
      <c r="N491" s="7"/>
      <c r="O491" s="7"/>
      <c r="P491" s="7"/>
      <c r="Q491" s="7"/>
      <c r="R491" s="7"/>
      <c r="S491" s="7"/>
      <c r="T491" s="7"/>
      <c r="U491" s="34"/>
      <c r="V491" s="34"/>
      <c r="W491" s="34"/>
      <c r="X491" s="34"/>
      <c r="Y491" s="34"/>
      <c r="Z491" s="34"/>
      <c r="AA491" s="34"/>
      <c r="AB491" s="34"/>
      <c r="AC491" s="34"/>
    </row>
    <row r="492" spans="1:29" s="7" customFormat="1" x14ac:dyDescent="0.25">
      <c r="B492" s="111" t="s">
        <v>62</v>
      </c>
      <c r="C492" s="111"/>
      <c r="D492" s="111"/>
      <c r="E492" s="111" t="s">
        <v>63</v>
      </c>
      <c r="F492" s="111"/>
      <c r="G492" s="111"/>
      <c r="H492" s="111" t="s">
        <v>64</v>
      </c>
      <c r="I492" s="111"/>
      <c r="J492" s="111"/>
      <c r="K492" s="111" t="s">
        <v>65</v>
      </c>
      <c r="L492" s="111"/>
      <c r="M492" s="111" t="s">
        <v>60</v>
      </c>
      <c r="N492" s="111"/>
      <c r="O492" s="111"/>
      <c r="P492" s="111" t="s">
        <v>61</v>
      </c>
      <c r="Q492" s="111"/>
      <c r="U492" s="34"/>
      <c r="V492" s="34"/>
      <c r="W492" s="34"/>
      <c r="X492" s="34"/>
      <c r="Y492" s="34"/>
      <c r="Z492" s="34"/>
      <c r="AA492" s="34"/>
      <c r="AB492" s="34"/>
      <c r="AC492" s="34"/>
    </row>
    <row r="493" spans="1:29" s="1" customFormat="1" x14ac:dyDescent="0.25">
      <c r="B493" s="154">
        <f>LOOKUP(F464, {1,2,3,4,5,6,7,8,9,10,11,12,13,14,15,16,17,18,19,20,21,22,23,24,25,26,27,28,29,30,31,32,33,34,35,36,37,38,39,40}, {3,6,10,13,16,20,23,26,30,33,38,43,50,58,66,76,86,100,116,133,153,173,200,233,266,306,346,400,466,532,612,692,800,932,1064,1224,1384,1600,1864,2128})</f>
        <v>153</v>
      </c>
      <c r="C493" s="154"/>
      <c r="D493" s="154"/>
      <c r="E493" s="154">
        <f>LOOKUP(F464, {1,2,3,4,5,6,7,8,9,10,11,12,13,14,15,16,17,18,19,20,21,22,23,24,25,26,27,28,29,30,31,32,33,34,35,36,37,38,39,40}, {6,13,20,26,33,40,46,53,60,66,76,86,100,116,133,153,173,200,233,266,306,346,400,466,533,613,693,800,933,1064,1224,1384,1600,1864,2132,2452,2772,3200,3732,4256})</f>
        <v>306</v>
      </c>
      <c r="F493" s="154"/>
      <c r="G493" s="154"/>
      <c r="H493" s="154">
        <f>LOOKUP(F464, {1,2,3,4,5,6,7,8,9,10,11,12,13,14,15,16,17,18,19,20,21,22,23,24,25,26,27,28,29,30,31,32,33,34,35,36,37,38,39,40}, {10,20,30,40,50,60,70,80,90,100,115,130,150,175,200,230,260,300,350,400,460,520,600,700,800,920,1040,1200,1400,1600,1840,2080,2400,2800,3200,3680,4160,4800,5600,6400})</f>
        <v>460</v>
      </c>
      <c r="I493" s="154"/>
      <c r="J493" s="154"/>
      <c r="K493" s="154">
        <v>0</v>
      </c>
      <c r="L493" s="154"/>
      <c r="M493" s="188">
        <v>60</v>
      </c>
      <c r="N493" s="188"/>
      <c r="O493" s="188"/>
      <c r="P493" s="154">
        <f>IF(M493&gt;=30,M493-(IF(B493&gt;=K493,0,10)),M493-(IF(B493&gt;=K493,0,5)))</f>
        <v>60</v>
      </c>
      <c r="Q493" s="154"/>
      <c r="R493" s="17">
        <f>IF(AND(K493&gt;B493,K493&lt;=E493),-3,IF(AND(K493&gt;E493,K493&lt;=H493),-6,0))</f>
        <v>0</v>
      </c>
      <c r="U493" s="34"/>
      <c r="V493" s="34"/>
      <c r="W493" s="34"/>
      <c r="X493" s="34"/>
      <c r="Y493" s="34"/>
      <c r="Z493" s="34"/>
      <c r="AA493" s="34"/>
      <c r="AB493" s="34"/>
      <c r="AC493" s="34"/>
    </row>
    <row r="494" spans="1:29" s="1" customFormat="1" x14ac:dyDescent="0.25">
      <c r="B494" s="7"/>
      <c r="C494" s="7"/>
      <c r="D494" s="7"/>
      <c r="E494" s="7"/>
      <c r="F494" s="7"/>
      <c r="G494" s="7"/>
      <c r="H494" s="7"/>
      <c r="I494" s="7"/>
      <c r="J494" s="7"/>
      <c r="K494" s="7"/>
      <c r="L494" s="7"/>
      <c r="M494" s="7"/>
      <c r="N494" s="7"/>
      <c r="O494" s="7"/>
      <c r="P494" s="7"/>
      <c r="Q494" s="7"/>
      <c r="R494" s="7"/>
      <c r="S494" s="7"/>
      <c r="T494" s="7"/>
      <c r="U494" s="34"/>
      <c r="V494" s="34"/>
      <c r="W494" s="34"/>
      <c r="X494" s="34"/>
      <c r="Y494" s="34"/>
      <c r="Z494" s="34"/>
      <c r="AA494" s="34"/>
      <c r="AB494" s="34"/>
      <c r="AC494" s="34"/>
    </row>
    <row r="495" spans="1:29" s="7" customFormat="1" ht="15" customHeight="1" x14ac:dyDescent="0.25">
      <c r="B495" s="7" t="s">
        <v>930</v>
      </c>
      <c r="U495" s="34"/>
      <c r="V495" s="34"/>
      <c r="W495" s="34"/>
      <c r="X495" s="34"/>
      <c r="Y495" s="34"/>
      <c r="Z495" s="34"/>
      <c r="AA495" s="34"/>
      <c r="AB495" s="34"/>
      <c r="AC495" s="34"/>
    </row>
    <row r="496" spans="1:29" s="7" customFormat="1" ht="15" customHeight="1" x14ac:dyDescent="0.25">
      <c r="B496" s="139" t="s">
        <v>22</v>
      </c>
      <c r="C496" s="140"/>
      <c r="D496" s="140"/>
      <c r="E496" s="141"/>
      <c r="F496" s="139" t="s">
        <v>93</v>
      </c>
      <c r="G496" s="140"/>
      <c r="H496" s="140"/>
      <c r="I496" s="140"/>
      <c r="J496" s="140"/>
      <c r="K496" s="140"/>
      <c r="L496" s="140"/>
      <c r="M496" s="140"/>
      <c r="N496" s="140"/>
      <c r="O496" s="140"/>
      <c r="P496" s="141"/>
      <c r="Q496" s="139" t="s">
        <v>42</v>
      </c>
      <c r="R496" s="140"/>
      <c r="S496" s="141"/>
      <c r="U496" s="34"/>
      <c r="V496" s="34"/>
      <c r="W496" s="34"/>
      <c r="X496" s="34"/>
      <c r="Y496" s="34"/>
      <c r="Z496" s="34"/>
      <c r="AA496" s="34"/>
      <c r="AB496" s="34"/>
      <c r="AC496" s="34"/>
    </row>
    <row r="497" spans="2:29" s="7" customFormat="1" x14ac:dyDescent="0.25">
      <c r="B497" s="90" t="s">
        <v>993</v>
      </c>
      <c r="C497" s="91"/>
      <c r="D497" s="91"/>
      <c r="E497" s="92"/>
      <c r="F497" s="99" t="s">
        <v>994</v>
      </c>
      <c r="G497" s="91"/>
      <c r="H497" s="91"/>
      <c r="I497" s="91"/>
      <c r="J497" s="91"/>
      <c r="K497" s="91"/>
      <c r="L497" s="91"/>
      <c r="M497" s="91"/>
      <c r="N497" s="91"/>
      <c r="O497" s="91"/>
      <c r="P497" s="92"/>
      <c r="Q497" s="90" t="s">
        <v>995</v>
      </c>
      <c r="R497" s="91"/>
      <c r="S497" s="92"/>
      <c r="U497" s="34"/>
      <c r="V497" s="34"/>
      <c r="W497" s="34"/>
      <c r="X497" s="34"/>
      <c r="Y497" s="34"/>
      <c r="Z497" s="34"/>
      <c r="AA497" s="34"/>
      <c r="AB497" s="34"/>
      <c r="AC497" s="34"/>
    </row>
    <row r="498" spans="2:29" s="7" customFormat="1" x14ac:dyDescent="0.25">
      <c r="B498" s="90" t="s">
        <v>996</v>
      </c>
      <c r="C498" s="91"/>
      <c r="D498" s="91"/>
      <c r="E498" s="92"/>
      <c r="F498" s="99" t="s">
        <v>997</v>
      </c>
      <c r="G498" s="91"/>
      <c r="H498" s="91"/>
      <c r="I498" s="91"/>
      <c r="J498" s="91"/>
      <c r="K498" s="91"/>
      <c r="L498" s="91"/>
      <c r="M498" s="91"/>
      <c r="N498" s="91"/>
      <c r="O498" s="91"/>
      <c r="P498" s="92"/>
      <c r="Q498" s="90" t="s">
        <v>998</v>
      </c>
      <c r="R498" s="91"/>
      <c r="S498" s="92"/>
      <c r="U498" s="34"/>
      <c r="V498" s="34"/>
      <c r="W498" s="34"/>
      <c r="X498" s="34"/>
      <c r="Y498" s="34"/>
      <c r="Z498" s="34"/>
      <c r="AA498" s="34"/>
      <c r="AB498" s="34"/>
      <c r="AC498" s="34"/>
    </row>
    <row r="499" spans="2:29" s="1" customFormat="1" x14ac:dyDescent="0.25">
      <c r="B499" s="7"/>
      <c r="C499" s="7"/>
      <c r="D499" s="7"/>
      <c r="E499" s="7"/>
      <c r="F499" s="7"/>
      <c r="G499" s="7"/>
      <c r="H499" s="7"/>
      <c r="I499" s="7"/>
      <c r="J499" s="7"/>
      <c r="K499" s="7"/>
      <c r="L499" s="7"/>
      <c r="M499" s="7"/>
      <c r="N499" s="7"/>
      <c r="O499" s="7"/>
      <c r="P499" s="7"/>
      <c r="Q499" s="7"/>
      <c r="R499" s="7"/>
      <c r="S499" s="7"/>
      <c r="T499" s="7"/>
      <c r="U499" s="34"/>
      <c r="V499" s="34"/>
      <c r="W499" s="34"/>
      <c r="X499" s="34"/>
      <c r="Y499" s="34"/>
      <c r="Z499" s="34"/>
      <c r="AA499" s="34"/>
      <c r="AB499" s="34"/>
      <c r="AC499" s="34"/>
    </row>
    <row r="500" spans="2:29" s="5" customFormat="1" x14ac:dyDescent="0.25">
      <c r="B500" s="11"/>
      <c r="C500" s="11"/>
      <c r="D500" s="11"/>
      <c r="E500" s="11"/>
      <c r="F500" s="11"/>
      <c r="G500" s="11"/>
      <c r="H500" s="11"/>
      <c r="I500" s="11"/>
      <c r="J500" s="11"/>
      <c r="K500" s="11"/>
      <c r="L500" s="11"/>
      <c r="M500" s="11"/>
      <c r="N500" s="11"/>
      <c r="O500" s="11"/>
      <c r="P500" s="11"/>
      <c r="Q500" s="11"/>
      <c r="R500" s="11"/>
      <c r="S500" s="11"/>
      <c r="T500" s="11"/>
      <c r="U500" s="33"/>
      <c r="V500" s="33"/>
      <c r="W500" s="33"/>
      <c r="X500" s="33"/>
      <c r="Y500" s="33"/>
      <c r="Z500" s="33"/>
      <c r="AA500" s="33"/>
      <c r="AB500" s="33"/>
      <c r="AC500" s="33"/>
    </row>
    <row r="501" spans="2:29" s="1" customFormat="1" x14ac:dyDescent="0.25">
      <c r="B501" s="164" t="s">
        <v>5</v>
      </c>
      <c r="C501" s="164"/>
      <c r="D501" s="90" t="s">
        <v>999</v>
      </c>
      <c r="E501" s="91"/>
      <c r="F501" s="92"/>
      <c r="U501" s="34"/>
      <c r="V501" s="34"/>
      <c r="W501" s="34"/>
      <c r="X501" s="34"/>
      <c r="Y501" s="34"/>
      <c r="Z501" s="34"/>
      <c r="AA501" s="34"/>
      <c r="AB501" s="34"/>
      <c r="AC501" s="34"/>
    </row>
    <row r="502" spans="2:29" s="1" customFormat="1" x14ac:dyDescent="0.25">
      <c r="B502" s="164" t="s">
        <v>208</v>
      </c>
      <c r="C502" s="164"/>
      <c r="D502" s="90" t="s">
        <v>1000</v>
      </c>
      <c r="E502" s="91"/>
      <c r="F502" s="92"/>
      <c r="U502" s="34"/>
      <c r="V502" s="34"/>
      <c r="W502" s="34"/>
      <c r="X502" s="34"/>
      <c r="Y502" s="34"/>
      <c r="Z502" s="34"/>
      <c r="AA502" s="34"/>
      <c r="AB502" s="34"/>
      <c r="AC502" s="34"/>
    </row>
    <row r="503" spans="2:29" s="1" customFormat="1" x14ac:dyDescent="0.25">
      <c r="B503" s="164" t="s">
        <v>17</v>
      </c>
      <c r="C503" s="164"/>
      <c r="D503" s="90" t="s">
        <v>196</v>
      </c>
      <c r="E503" s="91"/>
      <c r="F503" s="92"/>
      <c r="U503" s="34"/>
      <c r="V503" s="34"/>
      <c r="W503" s="34"/>
      <c r="X503" s="34"/>
      <c r="Y503" s="34"/>
      <c r="Z503" s="34"/>
      <c r="AA503" s="34"/>
      <c r="AB503" s="34"/>
      <c r="AC503" s="34"/>
    </row>
    <row r="504" spans="2:29" s="1" customFormat="1" x14ac:dyDescent="0.25">
      <c r="B504" s="164" t="s">
        <v>912</v>
      </c>
      <c r="C504" s="164"/>
      <c r="D504" s="90" t="s">
        <v>1001</v>
      </c>
      <c r="E504" s="91"/>
      <c r="F504" s="92"/>
      <c r="U504" s="34"/>
      <c r="V504" s="34"/>
      <c r="W504" s="34"/>
      <c r="X504" s="34"/>
      <c r="Y504" s="34"/>
      <c r="Z504" s="34"/>
      <c r="AA504" s="34"/>
      <c r="AB504" s="34"/>
      <c r="AC504" s="34"/>
    </row>
    <row r="505" spans="2:29" s="1" customFormat="1" x14ac:dyDescent="0.25">
      <c r="B505" s="7"/>
      <c r="C505" s="7"/>
      <c r="D505" s="7"/>
      <c r="E505" s="7"/>
      <c r="F505" s="7"/>
      <c r="G505" s="7"/>
      <c r="H505" s="7"/>
      <c r="I505" s="7"/>
      <c r="J505" s="7"/>
      <c r="K505" s="7"/>
      <c r="L505" s="7"/>
      <c r="M505" s="7"/>
      <c r="N505" s="7"/>
      <c r="O505" s="7"/>
      <c r="P505" s="7"/>
      <c r="Q505" s="7"/>
      <c r="R505" s="7"/>
      <c r="S505" s="7"/>
      <c r="T505" s="7"/>
      <c r="U505" s="34"/>
      <c r="V505" s="34"/>
      <c r="W505" s="34"/>
      <c r="X505" s="34"/>
      <c r="Y505" s="34"/>
      <c r="Z505" s="34"/>
      <c r="AA505" s="34"/>
      <c r="AB505" s="34"/>
      <c r="AC505" s="34"/>
    </row>
    <row r="506" spans="2:29" s="1" customFormat="1" x14ac:dyDescent="0.25">
      <c r="B506" s="7" t="s">
        <v>915</v>
      </c>
      <c r="C506" s="7"/>
      <c r="D506" s="7"/>
      <c r="E506" s="7"/>
      <c r="F506" s="7"/>
      <c r="G506" s="7"/>
      <c r="H506" s="7"/>
      <c r="I506" s="7"/>
      <c r="J506" s="7"/>
      <c r="K506" s="7"/>
      <c r="L506" s="7"/>
      <c r="M506" s="7"/>
      <c r="N506" s="7"/>
      <c r="O506" s="7"/>
      <c r="P506" s="7"/>
      <c r="Q506" s="7"/>
      <c r="R506" s="7"/>
      <c r="S506" s="7"/>
      <c r="T506" s="7"/>
      <c r="U506" s="34"/>
      <c r="V506" s="34"/>
      <c r="W506" s="34"/>
      <c r="X506" s="34"/>
      <c r="Y506" s="34"/>
      <c r="Z506" s="34"/>
      <c r="AA506" s="34"/>
      <c r="AB506" s="34"/>
      <c r="AC506" s="34"/>
    </row>
    <row r="507" spans="2:29" s="1" customFormat="1" x14ac:dyDescent="0.25">
      <c r="B507" s="83" t="s">
        <v>22</v>
      </c>
      <c r="C507" s="78" t="s">
        <v>23</v>
      </c>
      <c r="D507" s="83" t="s">
        <v>255</v>
      </c>
      <c r="E507" s="83" t="s">
        <v>254</v>
      </c>
      <c r="F507" s="78" t="s">
        <v>68</v>
      </c>
      <c r="G507" s="78" t="s">
        <v>24</v>
      </c>
      <c r="I507" s="7"/>
      <c r="U507" s="34"/>
      <c r="V507" s="34"/>
      <c r="W507" s="34"/>
      <c r="X507" s="34"/>
      <c r="Y507" s="34"/>
      <c r="Z507" s="34"/>
      <c r="AA507" s="34"/>
      <c r="AB507" s="34"/>
      <c r="AC507" s="34"/>
    </row>
    <row r="508" spans="2:29" s="1" customFormat="1" x14ac:dyDescent="0.25">
      <c r="B508" s="83" t="s">
        <v>25</v>
      </c>
      <c r="C508" s="80">
        <v>36</v>
      </c>
      <c r="D508" s="77">
        <v>0</v>
      </c>
      <c r="E508" s="32"/>
      <c r="F508" s="24">
        <f>(C508+D508+E508+6)</f>
        <v>42</v>
      </c>
      <c r="G508" s="76">
        <f>FLOOR((F508-10)/2,1)</f>
        <v>16</v>
      </c>
      <c r="U508" s="34"/>
      <c r="V508" s="34"/>
      <c r="W508" s="34"/>
      <c r="X508" s="34"/>
      <c r="Y508" s="34"/>
      <c r="Z508" s="34"/>
      <c r="AA508" s="34"/>
      <c r="AB508" s="34"/>
      <c r="AC508" s="34"/>
    </row>
    <row r="509" spans="2:29" s="1" customFormat="1" x14ac:dyDescent="0.25">
      <c r="B509" s="83" t="s">
        <v>26</v>
      </c>
      <c r="C509" s="80">
        <v>13</v>
      </c>
      <c r="D509" s="77">
        <v>0</v>
      </c>
      <c r="E509" s="32">
        <v>0</v>
      </c>
      <c r="F509" s="24">
        <f t="shared" ref="F509" si="20">(C509+D509+E509)</f>
        <v>13</v>
      </c>
      <c r="G509" s="76">
        <f t="shared" ref="G509:G510" si="21">FLOOR((F509-10)/2,1)</f>
        <v>1</v>
      </c>
      <c r="U509" s="34"/>
      <c r="V509" s="34"/>
      <c r="W509" s="34"/>
      <c r="X509" s="34"/>
      <c r="Y509" s="34"/>
      <c r="Z509" s="34"/>
      <c r="AA509" s="34"/>
      <c r="AB509" s="34"/>
      <c r="AC509" s="34"/>
    </row>
    <row r="510" spans="2:29" s="1" customFormat="1" x14ac:dyDescent="0.25">
      <c r="B510" s="8" t="s">
        <v>27</v>
      </c>
      <c r="C510" s="80">
        <v>23</v>
      </c>
      <c r="D510" s="77">
        <v>0</v>
      </c>
      <c r="E510" s="32">
        <v>0</v>
      </c>
      <c r="F510" s="24">
        <f>(C510+D510+E510+6)</f>
        <v>29</v>
      </c>
      <c r="G510" s="76">
        <f t="shared" si="21"/>
        <v>9</v>
      </c>
      <c r="U510" s="34"/>
      <c r="V510" s="34"/>
      <c r="W510" s="34"/>
      <c r="X510" s="34"/>
      <c r="Y510" s="34"/>
      <c r="Z510" s="34"/>
      <c r="AA510" s="34"/>
      <c r="AB510" s="34"/>
      <c r="AC510" s="34"/>
    </row>
    <row r="511" spans="2:29" s="1" customFormat="1" x14ac:dyDescent="0.25">
      <c r="B511" s="7"/>
      <c r="C511" s="7"/>
      <c r="D511" s="7"/>
      <c r="E511" s="7"/>
      <c r="F511" s="7"/>
      <c r="G511" s="7"/>
      <c r="H511" s="7"/>
      <c r="I511" s="7"/>
      <c r="J511" s="7"/>
      <c r="K511" s="7"/>
      <c r="L511" s="7"/>
      <c r="M511" s="7"/>
      <c r="N511" s="7"/>
      <c r="O511" s="7"/>
      <c r="P511" s="7"/>
      <c r="Q511" s="7"/>
      <c r="R511" s="7"/>
      <c r="S511" s="7"/>
      <c r="T511" s="7"/>
      <c r="U511" s="34"/>
      <c r="V511" s="34"/>
      <c r="W511" s="34"/>
      <c r="X511" s="34"/>
      <c r="Y511" s="34"/>
      <c r="Z511" s="34"/>
      <c r="AA511" s="34"/>
      <c r="AB511" s="34"/>
      <c r="AC511" s="34"/>
    </row>
    <row r="512" spans="2:29" s="1" customFormat="1" x14ac:dyDescent="0.25">
      <c r="B512" s="7" t="s">
        <v>934</v>
      </c>
      <c r="U512" s="34"/>
      <c r="V512" s="34"/>
      <c r="W512" s="34"/>
      <c r="X512" s="34"/>
      <c r="Y512" s="34"/>
      <c r="Z512" s="34"/>
      <c r="AA512" s="34"/>
      <c r="AB512" s="34"/>
      <c r="AC512" s="34"/>
    </row>
    <row r="513" spans="1:29" s="7" customFormat="1" x14ac:dyDescent="0.25">
      <c r="B513" s="83" t="s">
        <v>31</v>
      </c>
      <c r="C513" s="25">
        <f>(F513+I513+L513+O513)</f>
        <v>14</v>
      </c>
      <c r="D513" s="111" t="s">
        <v>34</v>
      </c>
      <c r="E513" s="111"/>
      <c r="F513" s="81">
        <v>5</v>
      </c>
      <c r="G513" s="215" t="s">
        <v>935</v>
      </c>
      <c r="H513" s="216"/>
      <c r="I513" s="25">
        <f>G510</f>
        <v>9</v>
      </c>
      <c r="J513" s="111" t="s">
        <v>936</v>
      </c>
      <c r="K513" s="111"/>
      <c r="L513" s="214"/>
      <c r="M513" s="111" t="s">
        <v>937</v>
      </c>
      <c r="N513" s="111"/>
      <c r="O513" s="214"/>
      <c r="U513" s="34"/>
      <c r="V513" s="34"/>
      <c r="W513" s="34"/>
      <c r="X513" s="34"/>
      <c r="Y513" s="34"/>
      <c r="Z513" s="34"/>
      <c r="AA513" s="34"/>
      <c r="AB513" s="34"/>
      <c r="AC513" s="34"/>
    </row>
    <row r="514" spans="1:29" s="7" customFormat="1" x14ac:dyDescent="0.25">
      <c r="B514" s="78" t="s">
        <v>32</v>
      </c>
      <c r="C514" s="25">
        <f>(F514+I514+L514+O514)</f>
        <v>4</v>
      </c>
      <c r="D514" s="111" t="s">
        <v>34</v>
      </c>
      <c r="E514" s="111"/>
      <c r="F514" s="81">
        <v>3</v>
      </c>
      <c r="G514" s="164" t="s">
        <v>70</v>
      </c>
      <c r="H514" s="164"/>
      <c r="I514" s="25">
        <f>IF(G509&gt;G526,G526,G509)</f>
        <v>1</v>
      </c>
      <c r="J514" s="111" t="s">
        <v>936</v>
      </c>
      <c r="K514" s="111"/>
      <c r="L514" s="214"/>
      <c r="M514" s="111" t="s">
        <v>937</v>
      </c>
      <c r="N514" s="111"/>
      <c r="O514" s="214"/>
      <c r="U514" s="34"/>
      <c r="V514" s="34"/>
      <c r="W514" s="34"/>
      <c r="X514" s="34"/>
      <c r="Y514" s="34"/>
      <c r="Z514" s="34"/>
      <c r="AA514" s="34"/>
      <c r="AB514" s="34"/>
      <c r="AC514" s="34"/>
    </row>
    <row r="515" spans="1:29" s="7" customFormat="1" x14ac:dyDescent="0.25">
      <c r="B515" s="78" t="s">
        <v>33</v>
      </c>
      <c r="C515" s="25">
        <f>(F515+I515+L515+O515)</f>
        <v>10</v>
      </c>
      <c r="D515" s="111" t="s">
        <v>34</v>
      </c>
      <c r="E515" s="111"/>
      <c r="F515" s="81">
        <v>1</v>
      </c>
      <c r="G515" s="164" t="s">
        <v>935</v>
      </c>
      <c r="H515" s="164"/>
      <c r="I515" s="25">
        <f>G510</f>
        <v>9</v>
      </c>
      <c r="J515" s="111" t="s">
        <v>936</v>
      </c>
      <c r="K515" s="111"/>
      <c r="L515" s="214"/>
      <c r="M515" s="111" t="s">
        <v>937</v>
      </c>
      <c r="N515" s="111"/>
      <c r="O515" s="214"/>
      <c r="U515" s="34"/>
      <c r="V515" s="34"/>
      <c r="W515" s="34"/>
      <c r="X515" s="34"/>
      <c r="Y515" s="34"/>
      <c r="Z515" s="34"/>
      <c r="AA515" s="34"/>
      <c r="AB515" s="34"/>
      <c r="AC515" s="34"/>
    </row>
    <row r="516" spans="1:29" s="1" customFormat="1" x14ac:dyDescent="0.25">
      <c r="U516" s="34"/>
      <c r="V516" s="34"/>
      <c r="W516" s="34"/>
      <c r="X516" s="34"/>
      <c r="Y516" s="34"/>
      <c r="Z516" s="34"/>
      <c r="AA516" s="34"/>
      <c r="AB516" s="34"/>
      <c r="AC516" s="34"/>
    </row>
    <row r="517" spans="1:29" s="1" customFormat="1" x14ac:dyDescent="0.25">
      <c r="B517" s="7" t="s">
        <v>916</v>
      </c>
      <c r="C517" s="7"/>
      <c r="D517" s="7"/>
      <c r="E517" s="7"/>
      <c r="F517" s="7"/>
      <c r="G517" s="7"/>
      <c r="H517" s="7"/>
      <c r="I517" s="7"/>
      <c r="J517" s="7"/>
      <c r="K517" s="7"/>
      <c r="L517" s="7"/>
      <c r="M517" s="7"/>
      <c r="N517" s="7"/>
      <c r="O517" s="7"/>
      <c r="P517" s="7"/>
      <c r="Q517" s="7"/>
      <c r="R517" s="7"/>
      <c r="S517" s="7"/>
      <c r="T517" s="7"/>
      <c r="U517" s="34"/>
      <c r="V517" s="34"/>
      <c r="W517" s="34"/>
      <c r="X517" s="34"/>
      <c r="Y517" s="34"/>
      <c r="Z517" s="34"/>
      <c r="AA517" s="34"/>
      <c r="AB517" s="34"/>
      <c r="AC517" s="34"/>
    </row>
    <row r="518" spans="1:29" s="1" customFormat="1" x14ac:dyDescent="0.25">
      <c r="A518" s="7"/>
      <c r="B518" s="85" t="s">
        <v>74</v>
      </c>
      <c r="C518" s="85"/>
      <c r="D518" s="27">
        <f>(G509+J518)</f>
        <v>1</v>
      </c>
      <c r="E518" s="85" t="s">
        <v>70</v>
      </c>
      <c r="F518" s="85"/>
      <c r="G518" s="27">
        <f>IF(G509&gt;G526,G526,G509)</f>
        <v>1</v>
      </c>
      <c r="H518" s="85" t="s">
        <v>39</v>
      </c>
      <c r="I518" s="85"/>
      <c r="J518" s="203"/>
      <c r="K518" s="7"/>
      <c r="L518" s="7"/>
      <c r="M518" s="7"/>
      <c r="N518" s="7"/>
      <c r="O518" s="7"/>
      <c r="P518" s="7"/>
      <c r="Q518" s="7"/>
      <c r="R518" s="7"/>
      <c r="S518" s="7"/>
      <c r="T518" s="7"/>
      <c r="U518" s="34"/>
      <c r="V518" s="34"/>
      <c r="W518" s="34"/>
      <c r="X518" s="34"/>
      <c r="Y518" s="34"/>
      <c r="Z518" s="34"/>
      <c r="AA518" s="34"/>
      <c r="AB518" s="34"/>
      <c r="AC518" s="34"/>
    </row>
    <row r="519" spans="1:29" s="1" customFormat="1" x14ac:dyDescent="0.25">
      <c r="A519" s="7"/>
      <c r="B519" s="7"/>
      <c r="C519" s="7"/>
      <c r="D519" s="34"/>
      <c r="E519" s="7"/>
      <c r="F519" s="7"/>
      <c r="G519" s="34"/>
      <c r="H519" s="7"/>
      <c r="I519" s="7"/>
      <c r="J519" s="7"/>
      <c r="K519" s="7"/>
      <c r="L519" s="7"/>
      <c r="M519" s="7"/>
      <c r="N519" s="7"/>
      <c r="O519" s="7"/>
      <c r="P519" s="7"/>
      <c r="Q519" s="7"/>
      <c r="R519" s="7"/>
      <c r="S519" s="7"/>
      <c r="T519" s="7"/>
      <c r="U519" s="34"/>
      <c r="V519" s="34"/>
      <c r="W519" s="34"/>
      <c r="X519" s="34"/>
      <c r="Y519" s="34"/>
      <c r="Z519" s="34"/>
      <c r="AA519" s="34"/>
      <c r="AB519" s="34"/>
      <c r="AC519" s="34"/>
    </row>
    <row r="520" spans="1:29" s="1" customFormat="1" x14ac:dyDescent="0.25">
      <c r="A520" s="7"/>
      <c r="B520" s="131" t="s">
        <v>75</v>
      </c>
      <c r="C520" s="133"/>
      <c r="D520" s="29">
        <f>(G520+J520+M520+P520)</f>
        <v>18</v>
      </c>
      <c r="E520" s="131" t="s">
        <v>71</v>
      </c>
      <c r="F520" s="133"/>
      <c r="G520" s="27">
        <v>3</v>
      </c>
      <c r="H520" s="131" t="s">
        <v>72</v>
      </c>
      <c r="I520" s="133"/>
      <c r="J520" s="29">
        <f>G508</f>
        <v>16</v>
      </c>
      <c r="K520" s="131" t="s">
        <v>73</v>
      </c>
      <c r="L520" s="133"/>
      <c r="M520" s="29">
        <f>VLOOKUP(D503,SizeTable,2,FALSE)</f>
        <v>-1</v>
      </c>
      <c r="N520" s="131" t="s">
        <v>39</v>
      </c>
      <c r="O520" s="133"/>
      <c r="P520" s="27"/>
      <c r="Q520" s="7"/>
      <c r="R520" s="7"/>
      <c r="S520" s="7"/>
      <c r="T520" s="7"/>
      <c r="U520" s="34"/>
      <c r="V520" s="34"/>
      <c r="W520" s="34"/>
      <c r="X520" s="34"/>
      <c r="Y520" s="34"/>
      <c r="Z520" s="34"/>
      <c r="AA520" s="34"/>
      <c r="AB520" s="34"/>
      <c r="AC520" s="34"/>
    </row>
    <row r="521" spans="1:29" s="1" customFormat="1" x14ac:dyDescent="0.25">
      <c r="A521" s="7"/>
      <c r="B521" s="131" t="s">
        <v>76</v>
      </c>
      <c r="C521" s="133"/>
      <c r="D521" s="29">
        <f>(G521+J521+M521+P521)</f>
        <v>1</v>
      </c>
      <c r="E521" s="131" t="s">
        <v>71</v>
      </c>
      <c r="F521" s="133"/>
      <c r="G521" s="29">
        <f>G520</f>
        <v>3</v>
      </c>
      <c r="H521" s="131" t="s">
        <v>36</v>
      </c>
      <c r="I521" s="133"/>
      <c r="J521" s="29">
        <f>IF(G509&gt;G526,G526,G509)</f>
        <v>1</v>
      </c>
      <c r="K521" s="131" t="s">
        <v>73</v>
      </c>
      <c r="L521" s="133"/>
      <c r="M521" s="29">
        <f>VLOOKUP(D503,SizeTable,2,FALSE)</f>
        <v>-1</v>
      </c>
      <c r="N521" s="131" t="s">
        <v>39</v>
      </c>
      <c r="O521" s="133"/>
      <c r="P521" s="27">
        <v>-2</v>
      </c>
      <c r="Q521" s="7"/>
      <c r="R521" s="7"/>
      <c r="S521" s="7"/>
      <c r="T521" s="7"/>
      <c r="U521" s="34"/>
      <c r="V521" s="34"/>
      <c r="W521" s="34"/>
      <c r="X521" s="34"/>
      <c r="Y521" s="34"/>
      <c r="Z521" s="34"/>
      <c r="AA521" s="34"/>
      <c r="AB521" s="34"/>
      <c r="AC521" s="34"/>
    </row>
    <row r="522" spans="1:29" s="1" customFormat="1" x14ac:dyDescent="0.25">
      <c r="A522" s="7"/>
      <c r="B522" s="131" t="s">
        <v>77</v>
      </c>
      <c r="C522" s="133"/>
      <c r="D522" s="29">
        <f>(G522+J522+M522+P522)</f>
        <v>23</v>
      </c>
      <c r="E522" s="131" t="s">
        <v>71</v>
      </c>
      <c r="F522" s="133"/>
      <c r="G522" s="29">
        <f>G521</f>
        <v>3</v>
      </c>
      <c r="H522" s="131" t="s">
        <v>72</v>
      </c>
      <c r="I522" s="133"/>
      <c r="J522" s="29">
        <f>G508</f>
        <v>16</v>
      </c>
      <c r="K522" s="131" t="s">
        <v>73</v>
      </c>
      <c r="L522" s="133"/>
      <c r="M522" s="29">
        <f>LOOKUP(VLOOKUP(D503,SizeTable,2,FALSE), {-8,-4,-2,-1,0,1,2,4,8},{16,12,8,4,0,-4,-8,-12,-16})</f>
        <v>4</v>
      </c>
      <c r="N522" s="131" t="s">
        <v>39</v>
      </c>
      <c r="O522" s="133"/>
      <c r="P522" s="27"/>
      <c r="Q522" s="7"/>
      <c r="R522" s="7"/>
      <c r="S522" s="7"/>
      <c r="T522" s="7"/>
      <c r="U522" s="34"/>
      <c r="V522" s="34"/>
      <c r="W522" s="34"/>
      <c r="X522" s="34"/>
      <c r="Y522" s="34"/>
      <c r="Z522" s="34"/>
      <c r="AA522" s="34"/>
      <c r="AB522" s="34"/>
      <c r="AC522" s="34"/>
    </row>
    <row r="523" spans="1:29" s="1" customFormat="1" x14ac:dyDescent="0.25">
      <c r="A523" s="7"/>
      <c r="B523" s="7"/>
      <c r="C523" s="7"/>
      <c r="D523" s="34"/>
      <c r="E523" s="7"/>
      <c r="F523" s="7"/>
      <c r="G523" s="34"/>
      <c r="H523" s="7"/>
      <c r="I523" s="7"/>
      <c r="J523" s="34"/>
      <c r="K523" s="7"/>
      <c r="L523" s="7"/>
      <c r="M523" s="34"/>
      <c r="N523" s="7"/>
      <c r="O523" s="7"/>
      <c r="P523" s="34"/>
      <c r="Q523" s="7"/>
      <c r="R523" s="7"/>
      <c r="S523" s="7"/>
      <c r="T523" s="7"/>
      <c r="U523" s="34"/>
      <c r="V523" s="34"/>
      <c r="W523" s="34"/>
      <c r="X523" s="34"/>
      <c r="Y523" s="34"/>
      <c r="Z523" s="34"/>
      <c r="AA523" s="34"/>
      <c r="AB523" s="34"/>
      <c r="AC523" s="34"/>
    </row>
    <row r="524" spans="1:29" s="1" customFormat="1" x14ac:dyDescent="0.25">
      <c r="A524" s="7"/>
      <c r="B524" s="85" t="s">
        <v>10</v>
      </c>
      <c r="C524" s="85"/>
      <c r="D524" s="29">
        <f>(10+G524+J524+M524+P524+J525+M525+P525+M526)</f>
        <v>23</v>
      </c>
      <c r="E524" s="85" t="s">
        <v>78</v>
      </c>
      <c r="F524" s="85"/>
      <c r="G524" s="29">
        <v>0</v>
      </c>
      <c r="H524" s="85" t="s">
        <v>36</v>
      </c>
      <c r="I524" s="85"/>
      <c r="J524" s="29">
        <f>IF(G509&gt;G526,G526,G509)</f>
        <v>1</v>
      </c>
      <c r="K524" s="85" t="s">
        <v>73</v>
      </c>
      <c r="L524" s="85"/>
      <c r="M524" s="29">
        <f>VLOOKUP(D503,SizeTable,2,FALSE)</f>
        <v>-1</v>
      </c>
      <c r="N524" s="85" t="s">
        <v>79</v>
      </c>
      <c r="O524" s="85"/>
      <c r="P524" s="27">
        <v>1</v>
      </c>
      <c r="Q524" s="7"/>
      <c r="R524" s="7"/>
      <c r="S524" s="7"/>
      <c r="T524" s="7"/>
      <c r="U524" s="34"/>
      <c r="V524" s="34"/>
      <c r="W524" s="34"/>
      <c r="X524" s="34"/>
      <c r="Y524" s="34"/>
      <c r="Z524" s="34"/>
      <c r="AA524" s="34"/>
      <c r="AB524" s="34"/>
      <c r="AC524" s="34"/>
    </row>
    <row r="525" spans="1:29" s="1" customFormat="1" x14ac:dyDescent="0.25">
      <c r="A525" s="7"/>
      <c r="B525" s="131" t="s">
        <v>82</v>
      </c>
      <c r="C525" s="133"/>
      <c r="D525" s="29">
        <f>(10+J524+M524+J525+P525+M526)</f>
        <v>10</v>
      </c>
      <c r="E525" s="94" t="s">
        <v>177</v>
      </c>
      <c r="F525" s="96"/>
      <c r="G525" s="29">
        <f>(10+G524+M524+P524+J525+M525+P525)</f>
        <v>22</v>
      </c>
      <c r="H525" s="149" t="s">
        <v>81</v>
      </c>
      <c r="I525" s="150"/>
      <c r="J525" s="27">
        <v>0</v>
      </c>
      <c r="K525" s="85" t="s">
        <v>80</v>
      </c>
      <c r="L525" s="85"/>
      <c r="M525" s="27">
        <v>12</v>
      </c>
      <c r="N525" s="85" t="s">
        <v>39</v>
      </c>
      <c r="O525" s="85"/>
      <c r="P525" s="27">
        <v>0</v>
      </c>
      <c r="Q525" s="7"/>
      <c r="R525" s="7"/>
      <c r="S525" s="7"/>
      <c r="T525" s="7"/>
      <c r="U525" s="34"/>
      <c r="V525" s="34"/>
      <c r="W525" s="34"/>
      <c r="X525" s="34"/>
      <c r="Y525" s="34"/>
      <c r="Z525" s="34"/>
      <c r="AA525" s="34"/>
      <c r="AB525" s="34"/>
      <c r="AC525" s="34"/>
    </row>
    <row r="526" spans="1:29" s="1" customFormat="1" x14ac:dyDescent="0.25">
      <c r="A526" s="7"/>
      <c r="B526" s="189" t="s">
        <v>14</v>
      </c>
      <c r="C526" s="189"/>
      <c r="D526" s="79">
        <v>0</v>
      </c>
      <c r="E526" s="131" t="s">
        <v>15</v>
      </c>
      <c r="F526" s="133"/>
      <c r="G526" s="29">
        <v>4</v>
      </c>
      <c r="H526" s="149" t="s">
        <v>16</v>
      </c>
      <c r="I526" s="150"/>
      <c r="J526" s="30">
        <v>0</v>
      </c>
      <c r="K526" s="131" t="s">
        <v>84</v>
      </c>
      <c r="L526" s="133"/>
      <c r="M526" s="27">
        <v>0</v>
      </c>
      <c r="N526" s="7"/>
      <c r="O526" s="7"/>
      <c r="P526" s="7"/>
      <c r="Q526" s="7"/>
      <c r="R526" s="7"/>
      <c r="S526" s="7"/>
      <c r="T526" s="7"/>
      <c r="U526" s="34"/>
      <c r="V526" s="34"/>
      <c r="W526" s="34"/>
      <c r="X526" s="34"/>
      <c r="Y526" s="34"/>
      <c r="Z526" s="34"/>
      <c r="AA526" s="34"/>
      <c r="AB526" s="34"/>
      <c r="AC526" s="34"/>
    </row>
    <row r="527" spans="1:29" s="1" customFormat="1" x14ac:dyDescent="0.25">
      <c r="A527" s="7"/>
      <c r="B527" s="105" t="s">
        <v>243</v>
      </c>
      <c r="C527" s="107"/>
      <c r="D527" s="207"/>
      <c r="E527" s="208"/>
      <c r="F527" s="208"/>
      <c r="G527" s="208"/>
      <c r="H527" s="208"/>
      <c r="I527" s="208"/>
      <c r="J527" s="208"/>
      <c r="K527" s="208"/>
      <c r="L527" s="208"/>
      <c r="M527" s="208"/>
      <c r="N527" s="208"/>
      <c r="O527" s="208"/>
      <c r="P527" s="209"/>
      <c r="Q527" s="7"/>
      <c r="R527" s="7"/>
      <c r="S527" s="7"/>
      <c r="T527" s="7"/>
      <c r="U527" s="34"/>
      <c r="V527" s="34"/>
      <c r="W527" s="34"/>
      <c r="X527" s="34"/>
      <c r="Y527" s="34"/>
      <c r="Z527" s="34"/>
      <c r="AA527" s="34"/>
      <c r="AB527" s="34"/>
      <c r="AC527" s="34"/>
    </row>
    <row r="528" spans="1:29" s="1" customFormat="1" x14ac:dyDescent="0.25">
      <c r="A528" s="7"/>
      <c r="B528" s="7"/>
      <c r="C528" s="7"/>
      <c r="D528" s="7"/>
      <c r="E528" s="7"/>
      <c r="F528" s="7"/>
      <c r="G528" s="7"/>
      <c r="H528" s="7"/>
      <c r="I528" s="7"/>
      <c r="J528" s="7"/>
      <c r="K528" s="7"/>
      <c r="L528" s="7"/>
      <c r="M528" s="7"/>
      <c r="N528" s="7"/>
      <c r="O528" s="7"/>
      <c r="P528" s="7"/>
      <c r="Q528" s="7"/>
      <c r="R528" s="7"/>
      <c r="S528" s="7"/>
      <c r="T528" s="7"/>
      <c r="U528" s="34"/>
      <c r="V528" s="34"/>
      <c r="W528" s="34"/>
      <c r="X528" s="34"/>
      <c r="Y528" s="34"/>
      <c r="Z528" s="34"/>
      <c r="AA528" s="34"/>
      <c r="AB528" s="34"/>
      <c r="AC528" s="34"/>
    </row>
    <row r="529" spans="1:29" s="1" customFormat="1" x14ac:dyDescent="0.25">
      <c r="A529" s="7"/>
      <c r="B529" s="85" t="s">
        <v>85</v>
      </c>
      <c r="C529" s="85"/>
      <c r="D529" s="97" t="s">
        <v>834</v>
      </c>
      <c r="E529" s="148"/>
      <c r="F529" s="98"/>
      <c r="G529" s="85" t="s">
        <v>86</v>
      </c>
      <c r="H529" s="85"/>
      <c r="I529" s="27">
        <f>D520</f>
        <v>18</v>
      </c>
      <c r="J529" s="82" t="s">
        <v>87</v>
      </c>
      <c r="K529" s="27" t="str">
        <f>"3d6+"&amp;FLOOR(G508*1.5,1)</f>
        <v>3d6+24</v>
      </c>
      <c r="L529" s="82" t="s">
        <v>88</v>
      </c>
      <c r="M529" s="27" t="s">
        <v>962</v>
      </c>
      <c r="N529" s="7"/>
      <c r="O529" s="7"/>
      <c r="P529" s="7"/>
      <c r="Q529" s="7"/>
      <c r="R529" s="7"/>
      <c r="S529" s="7"/>
      <c r="T529" s="7"/>
      <c r="U529" s="34"/>
      <c r="V529" s="34"/>
      <c r="W529" s="34"/>
      <c r="X529" s="34"/>
      <c r="Y529" s="34"/>
      <c r="Z529" s="34"/>
      <c r="AA529" s="34"/>
      <c r="AB529" s="34"/>
      <c r="AC529" s="34"/>
    </row>
    <row r="530" spans="1:29" s="1" customFormat="1" x14ac:dyDescent="0.25">
      <c r="A530" s="7"/>
      <c r="B530" s="85" t="s">
        <v>90</v>
      </c>
      <c r="C530" s="85"/>
      <c r="D530" s="87"/>
      <c r="E530" s="134"/>
      <c r="F530" s="88"/>
      <c r="G530" s="85" t="s">
        <v>86</v>
      </c>
      <c r="H530" s="85"/>
      <c r="I530" s="203"/>
      <c r="J530" s="82" t="s">
        <v>87</v>
      </c>
      <c r="K530" s="203"/>
      <c r="L530" s="82" t="s">
        <v>88</v>
      </c>
      <c r="M530" s="203"/>
      <c r="N530" s="85" t="s">
        <v>89</v>
      </c>
      <c r="O530" s="85"/>
      <c r="P530" s="203"/>
      <c r="Q530" s="7"/>
      <c r="R530" s="7"/>
      <c r="S530" s="7"/>
      <c r="T530" s="7"/>
      <c r="U530" s="34"/>
      <c r="V530" s="34"/>
      <c r="W530" s="34"/>
      <c r="X530" s="34"/>
      <c r="Y530" s="34"/>
      <c r="Z530" s="34"/>
      <c r="AA530" s="34"/>
      <c r="AB530" s="34"/>
      <c r="AC530" s="34"/>
    </row>
    <row r="531" spans="1:29" s="1" customFormat="1" x14ac:dyDescent="0.25">
      <c r="B531" s="7"/>
      <c r="C531" s="7"/>
      <c r="D531" s="7"/>
      <c r="E531" s="7"/>
      <c r="F531" s="7"/>
      <c r="G531" s="7"/>
      <c r="H531" s="7"/>
      <c r="I531" s="7"/>
      <c r="J531" s="7"/>
      <c r="K531" s="7"/>
      <c r="L531" s="7"/>
      <c r="M531" s="7"/>
      <c r="N531" s="7"/>
      <c r="O531" s="7"/>
      <c r="P531" s="7"/>
      <c r="Q531" s="7"/>
      <c r="R531" s="7"/>
      <c r="S531" s="7"/>
      <c r="T531" s="7"/>
      <c r="U531" s="34"/>
      <c r="V531" s="34"/>
      <c r="W531" s="34"/>
      <c r="X531" s="34"/>
      <c r="Y531" s="34"/>
      <c r="Z531" s="34"/>
      <c r="AA531" s="34"/>
      <c r="AB531" s="34"/>
      <c r="AC531" s="34"/>
    </row>
    <row r="532" spans="1:29" s="1" customFormat="1" x14ac:dyDescent="0.25">
      <c r="B532" s="7" t="s">
        <v>938</v>
      </c>
      <c r="C532" s="7"/>
      <c r="D532" s="7"/>
      <c r="E532" s="7"/>
      <c r="F532" s="7"/>
      <c r="G532" s="7"/>
      <c r="H532" s="7"/>
      <c r="I532" s="7"/>
      <c r="J532" s="7"/>
      <c r="K532" s="7"/>
      <c r="L532" s="7"/>
      <c r="M532" s="7"/>
      <c r="N532" s="7"/>
      <c r="O532" s="7"/>
      <c r="P532" s="7"/>
      <c r="Q532" s="7"/>
      <c r="R532" s="7"/>
      <c r="S532" s="7"/>
      <c r="T532" s="7"/>
      <c r="U532" s="34"/>
      <c r="V532" s="34"/>
      <c r="W532" s="34"/>
      <c r="X532" s="34"/>
      <c r="Y532" s="34"/>
      <c r="Z532" s="34"/>
      <c r="AA532" s="34"/>
      <c r="AB532" s="34"/>
      <c r="AC532" s="34"/>
    </row>
    <row r="533" spans="1:29" s="7" customFormat="1" x14ac:dyDescent="0.25">
      <c r="B533" s="111" t="s">
        <v>62</v>
      </c>
      <c r="C533" s="111"/>
      <c r="D533" s="111"/>
      <c r="E533" s="111" t="s">
        <v>63</v>
      </c>
      <c r="F533" s="111"/>
      <c r="G533" s="111"/>
      <c r="H533" s="111" t="s">
        <v>64</v>
      </c>
      <c r="I533" s="111"/>
      <c r="J533" s="111"/>
      <c r="K533" s="111" t="s">
        <v>65</v>
      </c>
      <c r="L533" s="111"/>
      <c r="M533" s="111" t="s">
        <v>60</v>
      </c>
      <c r="N533" s="111"/>
      <c r="O533" s="111"/>
      <c r="P533" s="111" t="s">
        <v>61</v>
      </c>
      <c r="Q533" s="111"/>
      <c r="U533" s="34"/>
      <c r="V533" s="34"/>
      <c r="W533" s="34"/>
      <c r="X533" s="34"/>
      <c r="Y533" s="34"/>
      <c r="Z533" s="34"/>
      <c r="AA533" s="34"/>
      <c r="AB533" s="34"/>
      <c r="AC533" s="34"/>
    </row>
    <row r="534" spans="1:29" s="1" customFormat="1" x14ac:dyDescent="0.25">
      <c r="B534" s="154">
        <f>LOOKUP(F508, {1,2,3,4,5,6,7,8,9,10,11,12,13,14,15,16,17,18,19,20,21,22,23,24,25,26,27,28,29,30,31,32,33,34,35,36,37,38,39,40}, {3,6,10,13,16,20,23,26,30,33,38,43,50,58,66,76,86,100,116,133,153,173,200,233,266,306,346,400,466,532,612,692,800,932,1064,1224,1384,1600,1864,2128})</f>
        <v>2128</v>
      </c>
      <c r="C534" s="154"/>
      <c r="D534" s="154"/>
      <c r="E534" s="154">
        <f>LOOKUP(F508, {1,2,3,4,5,6,7,8,9,10,11,12,13,14,15,16,17,18,19,20,21,22,23,24,25,26,27,28,29,30,31,32,33,34,35,36,37,38,39,40}, {6,13,20,26,33,40,46,53,60,66,76,86,100,116,133,153,173,200,233,266,306,346,400,466,533,613,693,800,933,1064,1224,1384,1600,1864,2132,2452,2772,3200,3732,4256})</f>
        <v>4256</v>
      </c>
      <c r="F534" s="154"/>
      <c r="G534" s="154"/>
      <c r="H534" s="154">
        <f>LOOKUP(F508, {1,2,3,4,5,6,7,8,9,10,11,12,13,14,15,16,17,18,19,20,21,22,23,24,25,26,27,28,29,30,31,32,33,34,35,36,37,38,39,40}, {10,20,30,40,50,60,70,80,90,100,115,130,150,175,200,230,260,300,350,400,460,520,600,700,800,920,1040,1200,1400,1600,1840,2080,2400,2800,3200,3680,4160,4800,5600,6400})</f>
        <v>6400</v>
      </c>
      <c r="I534" s="154"/>
      <c r="J534" s="154"/>
      <c r="K534" s="154">
        <v>0</v>
      </c>
      <c r="L534" s="154"/>
      <c r="M534" s="188">
        <v>40</v>
      </c>
      <c r="N534" s="188"/>
      <c r="O534" s="188"/>
      <c r="P534" s="154">
        <f>IF(M534&gt;=30,M534-(IF(B534&gt;=K534,0,10)),M534-(IF(B534&gt;=K534,0,5)))</f>
        <v>40</v>
      </c>
      <c r="Q534" s="154"/>
      <c r="R534" s="17">
        <f>IF(AND(K534&gt;B534,K534&lt;=E534),-3,IF(AND(K534&gt;E534,K534&lt;=H534),-6,0))</f>
        <v>0</v>
      </c>
      <c r="U534" s="34"/>
      <c r="V534" s="34"/>
      <c r="W534" s="34"/>
      <c r="X534" s="34"/>
      <c r="Y534" s="34"/>
      <c r="Z534" s="34"/>
      <c r="AA534" s="34"/>
      <c r="AB534" s="34"/>
      <c r="AC534" s="34"/>
    </row>
    <row r="535" spans="1:29" s="1" customFormat="1" x14ac:dyDescent="0.25">
      <c r="B535" s="7"/>
      <c r="C535" s="7"/>
      <c r="D535" s="7"/>
      <c r="E535" s="7"/>
      <c r="F535" s="7"/>
      <c r="G535" s="7"/>
      <c r="H535" s="7"/>
      <c r="I535" s="7"/>
      <c r="J535" s="7"/>
      <c r="K535" s="7"/>
      <c r="L535" s="7"/>
      <c r="M535" s="7"/>
      <c r="N535" s="7"/>
      <c r="O535" s="7"/>
      <c r="P535" s="7"/>
      <c r="Q535" s="7"/>
      <c r="R535" s="7"/>
      <c r="S535" s="7"/>
      <c r="T535" s="7"/>
      <c r="U535" s="34"/>
      <c r="V535" s="34"/>
      <c r="W535" s="34"/>
      <c r="X535" s="34"/>
      <c r="Y535" s="34"/>
      <c r="Z535" s="34"/>
      <c r="AA535" s="34"/>
      <c r="AB535" s="34"/>
      <c r="AC535" s="34"/>
    </row>
    <row r="536" spans="1:29" s="1" customFormat="1" x14ac:dyDescent="0.25">
      <c r="B536" s="7" t="s">
        <v>973</v>
      </c>
      <c r="C536" s="7"/>
      <c r="D536" s="7"/>
      <c r="E536" s="7"/>
      <c r="F536" s="7"/>
      <c r="G536" s="7"/>
      <c r="H536" s="7"/>
      <c r="I536" s="7"/>
      <c r="J536" s="7"/>
      <c r="K536" s="7"/>
      <c r="L536" s="7"/>
      <c r="M536" s="7"/>
      <c r="N536" s="7"/>
      <c r="O536" s="7"/>
      <c r="P536" s="7"/>
      <c r="Q536" s="7"/>
      <c r="R536" s="7"/>
      <c r="S536" s="7"/>
      <c r="T536" s="7"/>
      <c r="U536" s="34"/>
      <c r="V536" s="34"/>
      <c r="W536" s="34"/>
      <c r="X536" s="34"/>
      <c r="Y536" s="34"/>
      <c r="Z536" s="34"/>
      <c r="AA536" s="34"/>
      <c r="AB536" s="34"/>
      <c r="AC536" s="34"/>
    </row>
    <row r="537" spans="1:29" s="7" customFormat="1" x14ac:dyDescent="0.25">
      <c r="B537" s="111" t="s">
        <v>62</v>
      </c>
      <c r="C537" s="111"/>
      <c r="D537" s="111"/>
      <c r="E537" s="111" t="s">
        <v>63</v>
      </c>
      <c r="F537" s="111"/>
      <c r="G537" s="111"/>
      <c r="H537" s="111" t="s">
        <v>64</v>
      </c>
      <c r="I537" s="111"/>
      <c r="J537" s="111"/>
      <c r="K537" s="111" t="s">
        <v>65</v>
      </c>
      <c r="L537" s="111"/>
      <c r="M537" s="111" t="s">
        <v>60</v>
      </c>
      <c r="N537" s="111"/>
      <c r="O537" s="111"/>
      <c r="P537" s="111" t="s">
        <v>61</v>
      </c>
      <c r="Q537" s="111"/>
      <c r="U537" s="34"/>
      <c r="V537" s="34"/>
      <c r="W537" s="34"/>
      <c r="X537" s="34"/>
      <c r="Y537" s="34"/>
      <c r="Z537" s="34"/>
      <c r="AA537" s="34"/>
      <c r="AB537" s="34"/>
      <c r="AC537" s="34"/>
    </row>
    <row r="538" spans="1:29" s="1" customFormat="1" x14ac:dyDescent="0.25">
      <c r="B538" s="154">
        <f>LOOKUP(F508, {1,2,3,4,5,6,7,8,9,10,11,12,13,14,15,16,17,18,19,20,21,22,23,24,25,26,27,28,29,30,31,32,33,34,35,36,37,38,39,40}, {3,6,10,13,16,20,23,26,30,33,38,43,50,58,66,76,86,100,116,133,153,173,200,233,266,306,346,400,466,532,612,692,800,932,1064,1224,1384,1600,1864,2128})</f>
        <v>2128</v>
      </c>
      <c r="C538" s="154"/>
      <c r="D538" s="154"/>
      <c r="E538" s="154">
        <f>LOOKUP(F508, {1,2,3,4,5,6,7,8,9,10,11,12,13,14,15,16,17,18,19,20,21,22,23,24,25,26,27,28,29,30,31,32,33,34,35,36,37,38,39,40}, {6,13,20,26,33,40,46,53,60,66,76,86,100,116,133,153,173,200,233,266,306,346,400,466,533,613,693,800,933,1064,1224,1384,1600,1864,2132,2452,2772,3200,3732,4256})</f>
        <v>4256</v>
      </c>
      <c r="F538" s="154"/>
      <c r="G538" s="154"/>
      <c r="H538" s="154">
        <f>LOOKUP(F508, {1,2,3,4,5,6,7,8,9,10,11,12,13,14,15,16,17,18,19,20,21,22,23,24,25,26,27,28,29,30,31,32,33,34,35,36,37,38,39,40}, {10,20,30,40,50,60,70,80,90,100,115,130,150,175,200,230,260,300,350,400,460,520,600,700,800,920,1040,1200,1400,1600,1840,2080,2400,2800,3200,3680,4160,4800,5600,6400})</f>
        <v>6400</v>
      </c>
      <c r="I538" s="154"/>
      <c r="J538" s="154"/>
      <c r="K538" s="154">
        <v>0</v>
      </c>
      <c r="L538" s="154"/>
      <c r="M538" s="188">
        <v>0</v>
      </c>
      <c r="N538" s="188"/>
      <c r="O538" s="188"/>
      <c r="P538" s="154">
        <f>IF(M538&gt;=30,M538-(IF(B538&gt;=K538,0,10)),M538-(IF(B538&gt;=K538,0,5)))</f>
        <v>0</v>
      </c>
      <c r="Q538" s="154"/>
      <c r="R538" s="17">
        <f>IF(AND(K538&gt;B538,K538&lt;=E538),-3,IF(AND(K538&gt;E538,K538&lt;=H538),-6,0))</f>
        <v>0</v>
      </c>
      <c r="U538" s="34"/>
      <c r="V538" s="34"/>
      <c r="W538" s="34"/>
      <c r="X538" s="34"/>
      <c r="Y538" s="34"/>
      <c r="Z538" s="34"/>
      <c r="AA538" s="34"/>
      <c r="AB538" s="34"/>
      <c r="AC538" s="34"/>
    </row>
    <row r="539" spans="1:29" s="1" customFormat="1" x14ac:dyDescent="0.25">
      <c r="B539" s="7"/>
      <c r="C539" s="7"/>
      <c r="D539" s="7"/>
      <c r="E539" s="7"/>
      <c r="F539" s="7"/>
      <c r="G539" s="7"/>
      <c r="H539" s="7"/>
      <c r="I539" s="7"/>
      <c r="J539" s="7"/>
      <c r="K539" s="7"/>
      <c r="L539" s="7"/>
      <c r="M539" s="7"/>
      <c r="N539" s="7"/>
      <c r="O539" s="7"/>
      <c r="P539" s="7"/>
      <c r="Q539" s="7"/>
      <c r="R539" s="7"/>
      <c r="S539" s="7"/>
      <c r="T539" s="7"/>
      <c r="U539" s="34"/>
      <c r="V539" s="34"/>
      <c r="W539" s="34"/>
      <c r="X539" s="34"/>
      <c r="Y539" s="34"/>
      <c r="Z539" s="34"/>
      <c r="AA539" s="34"/>
      <c r="AB539" s="34"/>
      <c r="AC539" s="34"/>
    </row>
    <row r="540" spans="1:29" s="7" customFormat="1" x14ac:dyDescent="0.25">
      <c r="B540" s="7" t="s">
        <v>92</v>
      </c>
      <c r="U540" s="34"/>
      <c r="V540" s="34"/>
      <c r="W540" s="34"/>
      <c r="X540" s="34"/>
      <c r="Y540" s="34"/>
      <c r="Z540" s="34"/>
      <c r="AA540" s="34"/>
      <c r="AB540" s="34"/>
      <c r="AC540" s="34"/>
    </row>
    <row r="541" spans="1:29" s="7" customFormat="1" ht="15" customHeight="1" x14ac:dyDescent="0.25">
      <c r="B541" s="139" t="s">
        <v>22</v>
      </c>
      <c r="C541" s="140"/>
      <c r="D541" s="140"/>
      <c r="E541" s="141"/>
      <c r="F541" s="139" t="s">
        <v>93</v>
      </c>
      <c r="G541" s="140"/>
      <c r="H541" s="140"/>
      <c r="I541" s="140"/>
      <c r="J541" s="140"/>
      <c r="K541" s="140"/>
      <c r="L541" s="140"/>
      <c r="M541" s="140"/>
      <c r="N541" s="140"/>
      <c r="O541" s="140"/>
      <c r="P541" s="141"/>
      <c r="Q541" s="139" t="s">
        <v>42</v>
      </c>
      <c r="R541" s="140"/>
      <c r="S541" s="141"/>
      <c r="U541" s="34"/>
      <c r="V541" s="34"/>
      <c r="W541" s="34"/>
      <c r="X541" s="34"/>
      <c r="Y541" s="34"/>
      <c r="Z541" s="34"/>
      <c r="AA541" s="34"/>
      <c r="AB541" s="34"/>
      <c r="AC541" s="34"/>
    </row>
    <row r="542" spans="1:29" s="7" customFormat="1" x14ac:dyDescent="0.25">
      <c r="B542" s="128"/>
      <c r="C542" s="130"/>
      <c r="D542" s="130"/>
      <c r="E542" s="129"/>
      <c r="F542" s="212"/>
      <c r="G542" s="130"/>
      <c r="H542" s="130"/>
      <c r="I542" s="130"/>
      <c r="J542" s="130"/>
      <c r="K542" s="130"/>
      <c r="L542" s="130"/>
      <c r="M542" s="130"/>
      <c r="N542" s="130"/>
      <c r="O542" s="130"/>
      <c r="P542" s="129"/>
      <c r="Q542" s="128"/>
      <c r="R542" s="130"/>
      <c r="S542" s="129"/>
      <c r="U542" s="34"/>
      <c r="V542" s="34"/>
      <c r="W542" s="34"/>
      <c r="X542" s="34"/>
      <c r="Y542" s="34"/>
      <c r="Z542" s="34"/>
      <c r="AA542" s="34"/>
      <c r="AB542" s="34"/>
      <c r="AC542" s="34"/>
    </row>
    <row r="543" spans="1:29" s="1" customFormat="1" x14ac:dyDescent="0.25">
      <c r="B543" s="7"/>
      <c r="C543" s="7"/>
      <c r="D543" s="7"/>
      <c r="E543" s="7"/>
      <c r="F543" s="7"/>
      <c r="G543" s="7"/>
      <c r="H543" s="7"/>
      <c r="I543" s="7"/>
      <c r="J543" s="7"/>
      <c r="K543" s="7"/>
      <c r="L543" s="7"/>
      <c r="M543" s="7"/>
      <c r="N543" s="7"/>
      <c r="O543" s="7"/>
      <c r="P543" s="7"/>
      <c r="Q543" s="7"/>
      <c r="R543" s="7"/>
      <c r="S543" s="7"/>
      <c r="T543" s="7"/>
      <c r="U543" s="34"/>
      <c r="V543" s="34"/>
      <c r="W543" s="34"/>
      <c r="X543" s="34"/>
      <c r="Y543" s="34"/>
      <c r="Z543" s="34"/>
      <c r="AA543" s="34"/>
      <c r="AB543" s="34"/>
      <c r="AC543" s="34"/>
    </row>
    <row r="544" spans="1:29" s="7" customFormat="1" ht="15" customHeight="1" x14ac:dyDescent="0.25">
      <c r="B544" s="7" t="s">
        <v>926</v>
      </c>
      <c r="U544" s="34"/>
      <c r="V544" s="34"/>
      <c r="W544" s="34"/>
      <c r="X544" s="34"/>
      <c r="Y544" s="34"/>
      <c r="Z544" s="34"/>
      <c r="AA544" s="34"/>
      <c r="AB544" s="34"/>
      <c r="AC544" s="34"/>
    </row>
    <row r="545" spans="2:29" s="7" customFormat="1" ht="15" customHeight="1" x14ac:dyDescent="0.25">
      <c r="B545" s="139" t="s">
        <v>22</v>
      </c>
      <c r="C545" s="140"/>
      <c r="D545" s="140"/>
      <c r="E545" s="141"/>
      <c r="F545" s="139" t="s">
        <v>93</v>
      </c>
      <c r="G545" s="140"/>
      <c r="H545" s="140"/>
      <c r="I545" s="140"/>
      <c r="J545" s="140"/>
      <c r="K545" s="140"/>
      <c r="L545" s="140"/>
      <c r="M545" s="140"/>
      <c r="N545" s="140"/>
      <c r="O545" s="140"/>
      <c r="P545" s="141"/>
      <c r="Q545" s="139" t="s">
        <v>42</v>
      </c>
      <c r="R545" s="140"/>
      <c r="S545" s="141"/>
      <c r="U545" s="34"/>
      <c r="V545" s="34"/>
      <c r="W545" s="34"/>
      <c r="X545" s="34"/>
      <c r="Y545" s="34"/>
      <c r="Z545" s="34"/>
      <c r="AA545" s="34"/>
      <c r="AB545" s="34"/>
      <c r="AC545" s="34"/>
    </row>
    <row r="546" spans="2:29" s="7" customFormat="1" x14ac:dyDescent="0.25">
      <c r="B546" s="128"/>
      <c r="C546" s="130"/>
      <c r="D546" s="130"/>
      <c r="E546" s="129"/>
      <c r="F546" s="212"/>
      <c r="G546" s="130"/>
      <c r="H546" s="130"/>
      <c r="I546" s="130"/>
      <c r="J546" s="130"/>
      <c r="K546" s="130"/>
      <c r="L546" s="130"/>
      <c r="M546" s="130"/>
      <c r="N546" s="130"/>
      <c r="O546" s="130"/>
      <c r="P546" s="129"/>
      <c r="Q546" s="128"/>
      <c r="R546" s="130"/>
      <c r="S546" s="129"/>
      <c r="U546" s="34"/>
      <c r="V546" s="34"/>
      <c r="W546" s="34"/>
      <c r="X546" s="34"/>
      <c r="Y546" s="34"/>
      <c r="Z546" s="34"/>
      <c r="AA546" s="34"/>
      <c r="AB546" s="34"/>
      <c r="AC546" s="34"/>
    </row>
    <row r="547" spans="2:29" s="1" customFormat="1" x14ac:dyDescent="0.25">
      <c r="B547" s="7"/>
      <c r="C547" s="7"/>
      <c r="D547" s="7"/>
      <c r="E547" s="7"/>
      <c r="F547" s="7"/>
      <c r="G547" s="7"/>
      <c r="H547" s="7"/>
      <c r="I547" s="7"/>
      <c r="J547" s="7"/>
      <c r="K547" s="7"/>
      <c r="L547" s="7"/>
      <c r="M547" s="7"/>
      <c r="N547" s="7"/>
      <c r="O547" s="7"/>
      <c r="P547" s="7"/>
      <c r="Q547" s="7"/>
      <c r="R547" s="7"/>
      <c r="S547" s="7"/>
      <c r="T547" s="7"/>
      <c r="U547" s="34"/>
      <c r="V547" s="34"/>
      <c r="W547" s="34"/>
      <c r="X547" s="34"/>
      <c r="Y547" s="34"/>
      <c r="Z547" s="34"/>
      <c r="AA547" s="34"/>
      <c r="AB547" s="34"/>
      <c r="AC547" s="34"/>
    </row>
    <row r="548" spans="2:29" s="7" customFormat="1" ht="15" customHeight="1" x14ac:dyDescent="0.25">
      <c r="B548" s="7" t="s">
        <v>930</v>
      </c>
      <c r="U548" s="34"/>
      <c r="V548" s="34"/>
      <c r="W548" s="34"/>
      <c r="X548" s="34"/>
      <c r="Y548" s="34"/>
      <c r="Z548" s="34"/>
      <c r="AA548" s="34"/>
      <c r="AB548" s="34"/>
      <c r="AC548" s="34"/>
    </row>
    <row r="549" spans="2:29" s="7" customFormat="1" ht="15" customHeight="1" x14ac:dyDescent="0.25">
      <c r="B549" s="139" t="s">
        <v>22</v>
      </c>
      <c r="C549" s="140"/>
      <c r="D549" s="140"/>
      <c r="E549" s="141"/>
      <c r="F549" s="139" t="s">
        <v>93</v>
      </c>
      <c r="G549" s="140"/>
      <c r="H549" s="140"/>
      <c r="I549" s="140"/>
      <c r="J549" s="140"/>
      <c r="K549" s="140"/>
      <c r="L549" s="140"/>
      <c r="M549" s="140"/>
      <c r="N549" s="140"/>
      <c r="O549" s="140"/>
      <c r="P549" s="141"/>
      <c r="Q549" s="139" t="s">
        <v>42</v>
      </c>
      <c r="R549" s="140"/>
      <c r="S549" s="141"/>
      <c r="U549" s="34"/>
      <c r="V549" s="34"/>
      <c r="W549" s="34"/>
      <c r="X549" s="34"/>
      <c r="Y549" s="34"/>
      <c r="Z549" s="34"/>
      <c r="AA549" s="34"/>
      <c r="AB549" s="34"/>
      <c r="AC549" s="34"/>
    </row>
    <row r="550" spans="2:29" s="7" customFormat="1" x14ac:dyDescent="0.25">
      <c r="B550" s="128"/>
      <c r="C550" s="130"/>
      <c r="D550" s="130"/>
      <c r="E550" s="129"/>
      <c r="F550" s="212"/>
      <c r="G550" s="130"/>
      <c r="H550" s="130"/>
      <c r="I550" s="130"/>
      <c r="J550" s="130"/>
      <c r="K550" s="130"/>
      <c r="L550" s="130"/>
      <c r="M550" s="130"/>
      <c r="N550" s="130"/>
      <c r="O550" s="130"/>
      <c r="P550" s="129"/>
      <c r="Q550" s="128"/>
      <c r="R550" s="130"/>
      <c r="S550" s="129"/>
      <c r="U550" s="34"/>
      <c r="V550" s="34"/>
      <c r="W550" s="34"/>
      <c r="X550" s="34"/>
      <c r="Y550" s="34"/>
      <c r="Z550" s="34"/>
      <c r="AA550" s="34"/>
      <c r="AB550" s="34"/>
      <c r="AC550" s="34"/>
    </row>
    <row r="551" spans="2:29" s="1" customFormat="1" x14ac:dyDescent="0.25">
      <c r="B551" s="7"/>
      <c r="C551" s="7"/>
      <c r="D551" s="7"/>
      <c r="E551" s="7"/>
      <c r="F551" s="7"/>
      <c r="G551" s="7"/>
      <c r="H551" s="7"/>
      <c r="I551" s="7"/>
      <c r="J551" s="7"/>
      <c r="K551" s="7"/>
      <c r="L551" s="7"/>
      <c r="M551" s="7"/>
      <c r="N551" s="7"/>
      <c r="O551" s="7"/>
      <c r="P551" s="7"/>
      <c r="Q551" s="7"/>
      <c r="R551" s="7"/>
      <c r="S551" s="7"/>
      <c r="T551" s="7"/>
      <c r="U551" s="34"/>
      <c r="V551" s="34"/>
      <c r="W551" s="34"/>
      <c r="X551" s="34"/>
      <c r="Y551" s="34"/>
      <c r="Z551" s="34"/>
      <c r="AA551" s="34"/>
      <c r="AB551" s="34"/>
      <c r="AC551" s="34"/>
    </row>
    <row r="552" spans="2:29" s="5" customFormat="1" x14ac:dyDescent="0.25">
      <c r="B552" s="11"/>
      <c r="C552" s="11"/>
      <c r="D552" s="11"/>
      <c r="E552" s="11"/>
      <c r="F552" s="11"/>
      <c r="G552" s="11"/>
      <c r="H552" s="11"/>
      <c r="I552" s="11"/>
      <c r="J552" s="11"/>
      <c r="K552" s="11"/>
      <c r="L552" s="11"/>
      <c r="M552" s="11"/>
      <c r="N552" s="11"/>
      <c r="O552" s="11"/>
      <c r="P552" s="11"/>
      <c r="Q552" s="11"/>
      <c r="R552" s="11"/>
      <c r="S552" s="11"/>
      <c r="T552" s="11"/>
      <c r="U552" s="33"/>
      <c r="V552" s="33"/>
      <c r="W552" s="33"/>
      <c r="X552" s="33"/>
      <c r="Y552" s="33"/>
      <c r="Z552" s="33"/>
      <c r="AA552" s="33"/>
      <c r="AB552" s="33"/>
      <c r="AC552" s="33"/>
    </row>
    <row r="553" spans="2:29" s="1" customFormat="1" x14ac:dyDescent="0.25">
      <c r="B553" s="164" t="s">
        <v>5</v>
      </c>
      <c r="C553" s="164"/>
      <c r="D553" s="128"/>
      <c r="E553" s="130"/>
      <c r="F553" s="129"/>
      <c r="U553" s="34"/>
      <c r="V553" s="34"/>
      <c r="W553" s="34"/>
      <c r="X553" s="34"/>
      <c r="Y553" s="34"/>
      <c r="Z553" s="34"/>
      <c r="AA553" s="34"/>
      <c r="AB553" s="34"/>
      <c r="AC553" s="34"/>
    </row>
    <row r="554" spans="2:29" s="1" customFormat="1" x14ac:dyDescent="0.25">
      <c r="B554" s="164" t="s">
        <v>208</v>
      </c>
      <c r="C554" s="164"/>
      <c r="D554" s="128"/>
      <c r="E554" s="130"/>
      <c r="F554" s="129"/>
      <c r="U554" s="34"/>
      <c r="V554" s="34"/>
      <c r="W554" s="34"/>
      <c r="X554" s="34"/>
      <c r="Y554" s="34"/>
      <c r="Z554" s="34"/>
      <c r="AA554" s="34"/>
      <c r="AB554" s="34"/>
      <c r="AC554" s="34"/>
    </row>
    <row r="555" spans="2:29" s="1" customFormat="1" x14ac:dyDescent="0.25">
      <c r="B555" s="164" t="s">
        <v>17</v>
      </c>
      <c r="C555" s="164"/>
      <c r="D555" s="128" t="s">
        <v>83</v>
      </c>
      <c r="E555" s="130"/>
      <c r="F555" s="129"/>
      <c r="U555" s="34"/>
      <c r="V555" s="34"/>
      <c r="W555" s="34"/>
      <c r="X555" s="34"/>
      <c r="Y555" s="34"/>
      <c r="Z555" s="34"/>
      <c r="AA555" s="34"/>
      <c r="AB555" s="34"/>
      <c r="AC555" s="34"/>
    </row>
    <row r="556" spans="2:29" s="1" customFormat="1" x14ac:dyDescent="0.25">
      <c r="B556" s="164" t="s">
        <v>912</v>
      </c>
      <c r="C556" s="164"/>
      <c r="D556" s="128"/>
      <c r="E556" s="130"/>
      <c r="F556" s="129"/>
      <c r="U556" s="34"/>
      <c r="V556" s="34"/>
      <c r="W556" s="34"/>
      <c r="X556" s="34"/>
      <c r="Y556" s="34"/>
      <c r="Z556" s="34"/>
      <c r="AA556" s="34"/>
      <c r="AB556" s="34"/>
      <c r="AC556" s="34"/>
    </row>
    <row r="557" spans="2:29" s="1" customFormat="1" x14ac:dyDescent="0.25">
      <c r="B557" s="7"/>
      <c r="C557" s="7"/>
      <c r="D557" s="7"/>
      <c r="E557" s="7"/>
      <c r="F557" s="7"/>
      <c r="G557" s="7"/>
      <c r="H557" s="7"/>
      <c r="I557" s="7"/>
      <c r="J557" s="7"/>
      <c r="K557" s="7"/>
      <c r="L557" s="7"/>
      <c r="M557" s="7"/>
      <c r="N557" s="7"/>
      <c r="O557" s="7"/>
      <c r="P557" s="7"/>
      <c r="Q557" s="7"/>
      <c r="R557" s="7"/>
      <c r="S557" s="7"/>
      <c r="T557" s="7"/>
      <c r="U557" s="34"/>
      <c r="V557" s="34"/>
      <c r="W557" s="34"/>
      <c r="X557" s="34"/>
      <c r="Y557" s="34"/>
      <c r="Z557" s="34"/>
      <c r="AA557" s="34"/>
      <c r="AB557" s="34"/>
      <c r="AC557" s="34"/>
    </row>
    <row r="558" spans="2:29" s="1" customFormat="1" x14ac:dyDescent="0.25">
      <c r="B558" s="7" t="s">
        <v>915</v>
      </c>
      <c r="C558" s="7"/>
      <c r="D558" s="7"/>
      <c r="E558" s="7"/>
      <c r="F558" s="7"/>
      <c r="G558" s="7"/>
      <c r="H558" s="7"/>
      <c r="I558" s="7"/>
      <c r="J558" s="7"/>
      <c r="K558" s="7"/>
      <c r="L558" s="7"/>
      <c r="M558" s="7"/>
      <c r="N558" s="7"/>
      <c r="O558" s="7"/>
      <c r="P558" s="7"/>
      <c r="Q558" s="7"/>
      <c r="R558" s="7"/>
      <c r="S558" s="7"/>
      <c r="T558" s="7"/>
      <c r="U558" s="34"/>
      <c r="V558" s="34"/>
      <c r="W558" s="34"/>
      <c r="X558" s="34"/>
      <c r="Y558" s="34"/>
      <c r="Z558" s="34"/>
      <c r="AA558" s="34"/>
      <c r="AB558" s="34"/>
      <c r="AC558" s="34"/>
    </row>
    <row r="559" spans="2:29" s="1" customFormat="1" x14ac:dyDescent="0.25">
      <c r="B559" s="83" t="s">
        <v>22</v>
      </c>
      <c r="C559" s="78" t="s">
        <v>23</v>
      </c>
      <c r="D559" s="83" t="s">
        <v>255</v>
      </c>
      <c r="E559" s="83" t="s">
        <v>254</v>
      </c>
      <c r="F559" s="78" t="s">
        <v>68</v>
      </c>
      <c r="G559" s="78" t="s">
        <v>24</v>
      </c>
      <c r="I559" s="7"/>
      <c r="U559" s="34"/>
      <c r="V559" s="34"/>
      <c r="W559" s="34"/>
      <c r="X559" s="34"/>
      <c r="Y559" s="34"/>
      <c r="Z559" s="34"/>
      <c r="AA559" s="34"/>
      <c r="AB559" s="34"/>
      <c r="AC559" s="34"/>
    </row>
    <row r="560" spans="2:29" s="1" customFormat="1" x14ac:dyDescent="0.25">
      <c r="B560" s="83" t="s">
        <v>25</v>
      </c>
      <c r="C560" s="200">
        <v>14</v>
      </c>
      <c r="D560" s="2">
        <v>0</v>
      </c>
      <c r="E560" s="201">
        <v>0</v>
      </c>
      <c r="F560" s="53">
        <f>(C560+D560+E560+6)</f>
        <v>20</v>
      </c>
      <c r="G560" s="202">
        <f>FLOOR((F560-10)/2,1)</f>
        <v>5</v>
      </c>
      <c r="U560" s="34"/>
      <c r="V560" s="34"/>
      <c r="W560" s="34"/>
      <c r="X560" s="34"/>
      <c r="Y560" s="34"/>
      <c r="Z560" s="34"/>
      <c r="AA560" s="34"/>
      <c r="AB560" s="34"/>
      <c r="AC560" s="34"/>
    </row>
    <row r="561" spans="1:29" s="1" customFormat="1" x14ac:dyDescent="0.25">
      <c r="B561" s="83" t="s">
        <v>26</v>
      </c>
      <c r="C561" s="200">
        <v>14</v>
      </c>
      <c r="D561" s="2">
        <v>0</v>
      </c>
      <c r="E561" s="201">
        <v>0</v>
      </c>
      <c r="F561" s="53">
        <f t="shared" ref="F561" si="22">(C561+D561+E561)</f>
        <v>14</v>
      </c>
      <c r="G561" s="202">
        <f t="shared" ref="G561:G562" si="23">FLOOR((F561-10)/2,1)</f>
        <v>2</v>
      </c>
      <c r="U561" s="34"/>
      <c r="V561" s="34"/>
      <c r="W561" s="34"/>
      <c r="X561" s="34"/>
      <c r="Y561" s="34"/>
      <c r="Z561" s="34"/>
      <c r="AA561" s="34"/>
      <c r="AB561" s="34"/>
      <c r="AC561" s="34"/>
    </row>
    <row r="562" spans="1:29" s="1" customFormat="1" x14ac:dyDescent="0.25">
      <c r="B562" s="8" t="s">
        <v>27</v>
      </c>
      <c r="C562" s="200">
        <v>16</v>
      </c>
      <c r="D562" s="2">
        <v>0</v>
      </c>
      <c r="E562" s="201">
        <v>0</v>
      </c>
      <c r="F562" s="53">
        <f>(C562+D562+E562+6)</f>
        <v>22</v>
      </c>
      <c r="G562" s="202">
        <f t="shared" si="23"/>
        <v>6</v>
      </c>
      <c r="U562" s="34"/>
      <c r="V562" s="34"/>
      <c r="W562" s="34"/>
      <c r="X562" s="34"/>
      <c r="Y562" s="34"/>
      <c r="Z562" s="34"/>
      <c r="AA562" s="34"/>
      <c r="AB562" s="34"/>
      <c r="AC562" s="34"/>
    </row>
    <row r="563" spans="1:29" s="1" customFormat="1" x14ac:dyDescent="0.25">
      <c r="B563" s="7"/>
      <c r="C563" s="7"/>
      <c r="D563" s="7"/>
      <c r="E563" s="7"/>
      <c r="F563" s="7"/>
      <c r="G563" s="7"/>
      <c r="H563" s="7"/>
      <c r="I563" s="7"/>
      <c r="J563" s="7"/>
      <c r="K563" s="7"/>
      <c r="L563" s="7"/>
      <c r="M563" s="7"/>
      <c r="N563" s="7"/>
      <c r="O563" s="7"/>
      <c r="P563" s="7"/>
      <c r="Q563" s="7"/>
      <c r="R563" s="7"/>
      <c r="S563" s="7"/>
      <c r="T563" s="7"/>
      <c r="U563" s="34"/>
      <c r="V563" s="34"/>
      <c r="W563" s="34"/>
      <c r="X563" s="34"/>
      <c r="Y563" s="34"/>
      <c r="Z563" s="34"/>
      <c r="AA563" s="34"/>
      <c r="AB563" s="34"/>
      <c r="AC563" s="34"/>
    </row>
    <row r="564" spans="1:29" s="1" customFormat="1" x14ac:dyDescent="0.25">
      <c r="B564" s="7" t="s">
        <v>934</v>
      </c>
      <c r="U564" s="34"/>
      <c r="V564" s="34"/>
      <c r="W564" s="34"/>
      <c r="X564" s="34"/>
      <c r="Y564" s="34"/>
      <c r="Z564" s="34"/>
      <c r="AA564" s="34"/>
      <c r="AB564" s="34"/>
      <c r="AC564" s="34"/>
    </row>
    <row r="565" spans="1:29" s="7" customFormat="1" x14ac:dyDescent="0.25">
      <c r="B565" s="83" t="s">
        <v>31</v>
      </c>
      <c r="C565" s="213">
        <f>(F565+I565+L565+O565)</f>
        <v>11</v>
      </c>
      <c r="D565" s="111" t="s">
        <v>34</v>
      </c>
      <c r="E565" s="111"/>
      <c r="F565" s="214">
        <v>5</v>
      </c>
      <c r="G565" s="215" t="s">
        <v>935</v>
      </c>
      <c r="H565" s="216"/>
      <c r="I565" s="213">
        <f>G562</f>
        <v>6</v>
      </c>
      <c r="J565" s="111" t="s">
        <v>936</v>
      </c>
      <c r="K565" s="111"/>
      <c r="L565" s="214"/>
      <c r="M565" s="111" t="s">
        <v>937</v>
      </c>
      <c r="N565" s="111"/>
      <c r="O565" s="214"/>
      <c r="U565" s="34"/>
      <c r="V565" s="34"/>
      <c r="W565" s="34"/>
      <c r="X565" s="34"/>
      <c r="Y565" s="34"/>
      <c r="Z565" s="34"/>
      <c r="AA565" s="34"/>
      <c r="AB565" s="34"/>
      <c r="AC565" s="34"/>
    </row>
    <row r="566" spans="1:29" s="7" customFormat="1" x14ac:dyDescent="0.25">
      <c r="B566" s="78" t="s">
        <v>32</v>
      </c>
      <c r="C566" s="213">
        <f>(F566+I566+L566+O566)</f>
        <v>5</v>
      </c>
      <c r="D566" s="111" t="s">
        <v>34</v>
      </c>
      <c r="E566" s="111"/>
      <c r="F566" s="214">
        <v>3</v>
      </c>
      <c r="G566" s="164" t="s">
        <v>70</v>
      </c>
      <c r="H566" s="164"/>
      <c r="I566" s="213">
        <f>IF(G561&gt;G578,G578,G561)</f>
        <v>2</v>
      </c>
      <c r="J566" s="111" t="s">
        <v>936</v>
      </c>
      <c r="K566" s="111"/>
      <c r="L566" s="214"/>
      <c r="M566" s="111" t="s">
        <v>937</v>
      </c>
      <c r="N566" s="111"/>
      <c r="O566" s="214"/>
      <c r="U566" s="34"/>
      <c r="V566" s="34"/>
      <c r="W566" s="34"/>
      <c r="X566" s="34"/>
      <c r="Y566" s="34"/>
      <c r="Z566" s="34"/>
      <c r="AA566" s="34"/>
      <c r="AB566" s="34"/>
      <c r="AC566" s="34"/>
    </row>
    <row r="567" spans="1:29" s="7" customFormat="1" x14ac:dyDescent="0.25">
      <c r="B567" s="78" t="s">
        <v>33</v>
      </c>
      <c r="C567" s="213">
        <f>(F567+I567+L567+O567)</f>
        <v>7</v>
      </c>
      <c r="D567" s="111" t="s">
        <v>34</v>
      </c>
      <c r="E567" s="111"/>
      <c r="F567" s="214">
        <v>1</v>
      </c>
      <c r="G567" s="164" t="s">
        <v>935</v>
      </c>
      <c r="H567" s="164"/>
      <c r="I567" s="213">
        <f>G562</f>
        <v>6</v>
      </c>
      <c r="J567" s="111" t="s">
        <v>936</v>
      </c>
      <c r="K567" s="111"/>
      <c r="L567" s="214"/>
      <c r="M567" s="111" t="s">
        <v>937</v>
      </c>
      <c r="N567" s="111"/>
      <c r="O567" s="214"/>
      <c r="U567" s="34"/>
      <c r="V567" s="34"/>
      <c r="W567" s="34"/>
      <c r="X567" s="34"/>
      <c r="Y567" s="34"/>
      <c r="Z567" s="34"/>
      <c r="AA567" s="34"/>
      <c r="AB567" s="34"/>
      <c r="AC567" s="34"/>
    </row>
    <row r="568" spans="1:29" s="1" customFormat="1" x14ac:dyDescent="0.25">
      <c r="U568" s="34"/>
      <c r="V568" s="34"/>
      <c r="W568" s="34"/>
      <c r="X568" s="34"/>
      <c r="Y568" s="34"/>
      <c r="Z568" s="34"/>
      <c r="AA568" s="34"/>
      <c r="AB568" s="34"/>
      <c r="AC568" s="34"/>
    </row>
    <row r="569" spans="1:29" s="1" customFormat="1" x14ac:dyDescent="0.25">
      <c r="B569" s="7" t="s">
        <v>916</v>
      </c>
      <c r="C569" s="7"/>
      <c r="D569" s="7"/>
      <c r="E569" s="7"/>
      <c r="F569" s="7"/>
      <c r="G569" s="7"/>
      <c r="H569" s="7"/>
      <c r="I569" s="7"/>
      <c r="J569" s="7"/>
      <c r="K569" s="7"/>
      <c r="L569" s="7"/>
      <c r="M569" s="7"/>
      <c r="N569" s="7"/>
      <c r="O569" s="7"/>
      <c r="P569" s="7"/>
      <c r="Q569" s="7"/>
      <c r="R569" s="7"/>
      <c r="S569" s="7"/>
      <c r="T569" s="7"/>
      <c r="U569" s="34"/>
      <c r="V569" s="34"/>
      <c r="W569" s="34"/>
      <c r="X569" s="34"/>
      <c r="Y569" s="34"/>
      <c r="Z569" s="34"/>
      <c r="AA569" s="34"/>
      <c r="AB569" s="34"/>
      <c r="AC569" s="34"/>
    </row>
    <row r="570" spans="1:29" s="1" customFormat="1" x14ac:dyDescent="0.25">
      <c r="A570" s="7"/>
      <c r="B570" s="85" t="s">
        <v>74</v>
      </c>
      <c r="C570" s="85"/>
      <c r="D570" s="203">
        <f>(G561+J570)</f>
        <v>2</v>
      </c>
      <c r="E570" s="85" t="s">
        <v>70</v>
      </c>
      <c r="F570" s="85"/>
      <c r="G570" s="203">
        <f>IF(G561&gt;G578,G578,G561)</f>
        <v>2</v>
      </c>
      <c r="H570" s="85" t="s">
        <v>39</v>
      </c>
      <c r="I570" s="85"/>
      <c r="J570" s="203"/>
      <c r="K570" s="7"/>
      <c r="L570" s="7"/>
      <c r="M570" s="7"/>
      <c r="N570" s="7"/>
      <c r="O570" s="7"/>
      <c r="P570" s="7"/>
      <c r="Q570" s="7"/>
      <c r="R570" s="7"/>
      <c r="S570" s="7"/>
      <c r="T570" s="7"/>
      <c r="U570" s="34"/>
      <c r="V570" s="34"/>
      <c r="W570" s="34"/>
      <c r="X570" s="34"/>
      <c r="Y570" s="34"/>
      <c r="Z570" s="34"/>
      <c r="AA570" s="34"/>
      <c r="AB570" s="34"/>
      <c r="AC570" s="34"/>
    </row>
    <row r="571" spans="1:29" s="1" customFormat="1" x14ac:dyDescent="0.25">
      <c r="A571" s="7"/>
      <c r="B571" s="7"/>
      <c r="C571" s="7"/>
      <c r="D571" s="7"/>
      <c r="E571" s="7"/>
      <c r="F571" s="7"/>
      <c r="G571" s="7"/>
      <c r="H571" s="7"/>
      <c r="I571" s="7"/>
      <c r="J571" s="7"/>
      <c r="K571" s="7"/>
      <c r="L571" s="7"/>
      <c r="M571" s="7"/>
      <c r="N571" s="7"/>
      <c r="O571" s="7"/>
      <c r="P571" s="7"/>
      <c r="Q571" s="7"/>
      <c r="R571" s="7"/>
      <c r="S571" s="7"/>
      <c r="T571" s="7"/>
      <c r="U571" s="34"/>
      <c r="V571" s="34"/>
      <c r="W571" s="34"/>
      <c r="X571" s="34"/>
      <c r="Y571" s="34"/>
      <c r="Z571" s="34"/>
      <c r="AA571" s="34"/>
      <c r="AB571" s="34"/>
      <c r="AC571" s="34"/>
    </row>
    <row r="572" spans="1:29" s="1" customFormat="1" x14ac:dyDescent="0.25">
      <c r="A572" s="7"/>
      <c r="B572" s="131" t="s">
        <v>75</v>
      </c>
      <c r="C572" s="133"/>
      <c r="D572" s="204">
        <f>(G560+J572+M572+P572)</f>
        <v>10</v>
      </c>
      <c r="E572" s="131" t="s">
        <v>71</v>
      </c>
      <c r="F572" s="133"/>
      <c r="G572" s="203">
        <v>3</v>
      </c>
      <c r="H572" s="131" t="s">
        <v>72</v>
      </c>
      <c r="I572" s="133"/>
      <c r="J572" s="204">
        <f>G560</f>
        <v>5</v>
      </c>
      <c r="K572" s="131" t="s">
        <v>73</v>
      </c>
      <c r="L572" s="133"/>
      <c r="M572" s="204">
        <f>VLOOKUP(D555,SizeTable,2,FALSE)</f>
        <v>0</v>
      </c>
      <c r="N572" s="131" t="s">
        <v>39</v>
      </c>
      <c r="O572" s="133"/>
      <c r="P572" s="203"/>
      <c r="Q572" s="7"/>
      <c r="R572" s="7"/>
      <c r="S572" s="7"/>
      <c r="T572" s="7"/>
      <c r="U572" s="34"/>
      <c r="V572" s="34"/>
      <c r="W572" s="34"/>
      <c r="X572" s="34"/>
      <c r="Y572" s="34"/>
      <c r="Z572" s="34"/>
      <c r="AA572" s="34"/>
      <c r="AB572" s="34"/>
      <c r="AC572" s="34"/>
    </row>
    <row r="573" spans="1:29" s="1" customFormat="1" x14ac:dyDescent="0.25">
      <c r="A573" s="7"/>
      <c r="B573" s="131" t="s">
        <v>76</v>
      </c>
      <c r="C573" s="133"/>
      <c r="D573" s="204">
        <f>(G573+J573+M573+P573)</f>
        <v>3</v>
      </c>
      <c r="E573" s="131" t="s">
        <v>71</v>
      </c>
      <c r="F573" s="133"/>
      <c r="G573" s="204">
        <f>G572</f>
        <v>3</v>
      </c>
      <c r="H573" s="131" t="s">
        <v>36</v>
      </c>
      <c r="I573" s="133"/>
      <c r="J573" s="204">
        <f>IF(G561&gt;G578,G578,G561)</f>
        <v>2</v>
      </c>
      <c r="K573" s="131" t="s">
        <v>73</v>
      </c>
      <c r="L573" s="133"/>
      <c r="M573" s="204">
        <f>VLOOKUP(D555,SizeTable,2,FALSE)</f>
        <v>0</v>
      </c>
      <c r="N573" s="131" t="s">
        <v>39</v>
      </c>
      <c r="O573" s="133"/>
      <c r="P573" s="203">
        <v>-2</v>
      </c>
      <c r="Q573" s="7"/>
      <c r="R573" s="7"/>
      <c r="S573" s="7"/>
      <c r="T573" s="7"/>
      <c r="U573" s="34"/>
      <c r="V573" s="34"/>
      <c r="W573" s="34"/>
      <c r="X573" s="34"/>
      <c r="Y573" s="34"/>
      <c r="Z573" s="34"/>
      <c r="AA573" s="34"/>
      <c r="AB573" s="34"/>
      <c r="AC573" s="34"/>
    </row>
    <row r="574" spans="1:29" s="1" customFormat="1" x14ac:dyDescent="0.25">
      <c r="A574" s="7"/>
      <c r="B574" s="131" t="s">
        <v>77</v>
      </c>
      <c r="C574" s="133"/>
      <c r="D574" s="204">
        <f>(G574+J574+M574+P574)</f>
        <v>8</v>
      </c>
      <c r="E574" s="131" t="s">
        <v>71</v>
      </c>
      <c r="F574" s="133"/>
      <c r="G574" s="204">
        <f>G573</f>
        <v>3</v>
      </c>
      <c r="H574" s="131" t="s">
        <v>72</v>
      </c>
      <c r="I574" s="133"/>
      <c r="J574" s="204">
        <f>G560</f>
        <v>5</v>
      </c>
      <c r="K574" s="131" t="s">
        <v>73</v>
      </c>
      <c r="L574" s="133"/>
      <c r="M574" s="204">
        <f>LOOKUP(VLOOKUP(D555,SizeTable,2,FALSE), {-8,-4,-2,-1,0,1,2,4,8},{16,12,8,4,0,-4,-8,-12,-16})</f>
        <v>0</v>
      </c>
      <c r="N574" s="131" t="s">
        <v>39</v>
      </c>
      <c r="O574" s="133"/>
      <c r="P574" s="203"/>
      <c r="Q574" s="7"/>
      <c r="R574" s="7"/>
      <c r="S574" s="7"/>
      <c r="T574" s="7"/>
      <c r="U574" s="34"/>
      <c r="V574" s="34"/>
      <c r="W574" s="34"/>
      <c r="X574" s="34"/>
      <c r="Y574" s="34"/>
      <c r="Z574" s="34"/>
      <c r="AA574" s="34"/>
      <c r="AB574" s="34"/>
      <c r="AC574" s="34"/>
    </row>
    <row r="575" spans="1:29" s="1" customFormat="1" x14ac:dyDescent="0.25">
      <c r="A575" s="7"/>
      <c r="B575" s="7"/>
      <c r="C575" s="7"/>
      <c r="D575" s="7"/>
      <c r="E575" s="7"/>
      <c r="F575" s="7"/>
      <c r="G575" s="7"/>
      <c r="H575" s="7"/>
      <c r="I575" s="7"/>
      <c r="J575" s="7"/>
      <c r="K575" s="7"/>
      <c r="L575" s="7"/>
      <c r="M575" s="7"/>
      <c r="N575" s="7"/>
      <c r="O575" s="7"/>
      <c r="P575" s="7"/>
      <c r="Q575" s="7"/>
      <c r="R575" s="7"/>
      <c r="S575" s="7"/>
      <c r="T575" s="7"/>
      <c r="U575" s="34"/>
      <c r="V575" s="34"/>
      <c r="W575" s="34"/>
      <c r="X575" s="34"/>
      <c r="Y575" s="34"/>
      <c r="Z575" s="34"/>
      <c r="AA575" s="34"/>
      <c r="AB575" s="34"/>
      <c r="AC575" s="34"/>
    </row>
    <row r="576" spans="1:29" s="1" customFormat="1" x14ac:dyDescent="0.25">
      <c r="A576" s="7"/>
      <c r="B576" s="85" t="s">
        <v>10</v>
      </c>
      <c r="C576" s="85"/>
      <c r="D576" s="204">
        <f>(10+G576+J576+M576+P576+J577+M577+P577+M578)</f>
        <v>12</v>
      </c>
      <c r="E576" s="85" t="s">
        <v>78</v>
      </c>
      <c r="F576" s="85"/>
      <c r="G576" s="204">
        <v>0</v>
      </c>
      <c r="H576" s="85" t="s">
        <v>36</v>
      </c>
      <c r="I576" s="85"/>
      <c r="J576" s="204">
        <f>IF(G561&gt;G578,G578,G561)</f>
        <v>2</v>
      </c>
      <c r="K576" s="85" t="s">
        <v>73</v>
      </c>
      <c r="L576" s="85"/>
      <c r="M576" s="204">
        <f>VLOOKUP(D555,SizeTable,2,FALSE)</f>
        <v>0</v>
      </c>
      <c r="N576" s="85" t="s">
        <v>79</v>
      </c>
      <c r="O576" s="85"/>
      <c r="P576" s="203">
        <v>0</v>
      </c>
      <c r="Q576" s="7"/>
      <c r="R576" s="7"/>
      <c r="S576" s="7"/>
      <c r="T576" s="7"/>
      <c r="U576" s="34"/>
      <c r="V576" s="34"/>
      <c r="W576" s="34"/>
      <c r="X576" s="34"/>
      <c r="Y576" s="34"/>
      <c r="Z576" s="34"/>
      <c r="AA576" s="34"/>
      <c r="AB576" s="34"/>
      <c r="AC576" s="34"/>
    </row>
    <row r="577" spans="1:29" s="1" customFormat="1" x14ac:dyDescent="0.25">
      <c r="A577" s="7"/>
      <c r="B577" s="131" t="s">
        <v>82</v>
      </c>
      <c r="C577" s="133"/>
      <c r="D577" s="204">
        <f>(10+J576+M576+J577+P577+M578)</f>
        <v>12</v>
      </c>
      <c r="E577" s="94" t="s">
        <v>177</v>
      </c>
      <c r="F577" s="96"/>
      <c r="G577" s="204">
        <f>(10+G576+M576+P576+J577+M577+P577)</f>
        <v>10</v>
      </c>
      <c r="H577" s="149" t="s">
        <v>81</v>
      </c>
      <c r="I577" s="150"/>
      <c r="J577" s="203">
        <v>0</v>
      </c>
      <c r="K577" s="85" t="s">
        <v>80</v>
      </c>
      <c r="L577" s="85"/>
      <c r="M577" s="203">
        <v>0</v>
      </c>
      <c r="N577" s="85" t="s">
        <v>39</v>
      </c>
      <c r="O577" s="85"/>
      <c r="P577" s="203">
        <v>0</v>
      </c>
      <c r="Q577" s="7"/>
      <c r="R577" s="7"/>
      <c r="S577" s="7"/>
      <c r="T577" s="7"/>
      <c r="U577" s="34"/>
      <c r="V577" s="34"/>
      <c r="W577" s="34"/>
      <c r="X577" s="34"/>
      <c r="Y577" s="34"/>
      <c r="Z577" s="34"/>
      <c r="AA577" s="34"/>
      <c r="AB577" s="34"/>
      <c r="AC577" s="34"/>
    </row>
    <row r="578" spans="1:29" s="1" customFormat="1" x14ac:dyDescent="0.25">
      <c r="A578" s="7"/>
      <c r="B578" s="189" t="s">
        <v>14</v>
      </c>
      <c r="C578" s="189"/>
      <c r="D578" s="205">
        <v>0</v>
      </c>
      <c r="E578" s="131" t="s">
        <v>15</v>
      </c>
      <c r="F578" s="133"/>
      <c r="G578" s="204">
        <v>4</v>
      </c>
      <c r="H578" s="149" t="s">
        <v>16</v>
      </c>
      <c r="I578" s="150"/>
      <c r="J578" s="206">
        <v>0</v>
      </c>
      <c r="K578" s="131" t="s">
        <v>84</v>
      </c>
      <c r="L578" s="133"/>
      <c r="M578" s="203">
        <v>0</v>
      </c>
      <c r="N578" s="7"/>
      <c r="O578" s="7"/>
      <c r="P578" s="7"/>
      <c r="Q578" s="7"/>
      <c r="R578" s="7"/>
      <c r="S578" s="7"/>
      <c r="T578" s="7"/>
      <c r="U578" s="34"/>
      <c r="V578" s="34"/>
      <c r="W578" s="34"/>
      <c r="X578" s="34"/>
      <c r="Y578" s="34"/>
      <c r="Z578" s="34"/>
      <c r="AA578" s="34"/>
      <c r="AB578" s="34"/>
      <c r="AC578" s="34"/>
    </row>
    <row r="579" spans="1:29" s="1" customFormat="1" x14ac:dyDescent="0.25">
      <c r="A579" s="7"/>
      <c r="B579" s="105" t="s">
        <v>243</v>
      </c>
      <c r="C579" s="107"/>
      <c r="D579" s="207"/>
      <c r="E579" s="208"/>
      <c r="F579" s="208"/>
      <c r="G579" s="208"/>
      <c r="H579" s="208"/>
      <c r="I579" s="208"/>
      <c r="J579" s="208"/>
      <c r="K579" s="208"/>
      <c r="L579" s="208"/>
      <c r="M579" s="208"/>
      <c r="N579" s="208"/>
      <c r="O579" s="208"/>
      <c r="P579" s="209"/>
      <c r="Q579" s="7"/>
      <c r="R579" s="7"/>
      <c r="S579" s="7"/>
      <c r="T579" s="7"/>
      <c r="U579" s="34"/>
      <c r="V579" s="34"/>
      <c r="W579" s="34"/>
      <c r="X579" s="34"/>
      <c r="Y579" s="34"/>
      <c r="Z579" s="34"/>
      <c r="AA579" s="34"/>
      <c r="AB579" s="34"/>
      <c r="AC579" s="34"/>
    </row>
    <row r="580" spans="1:29" s="1" customFormat="1" x14ac:dyDescent="0.25">
      <c r="A580" s="7"/>
      <c r="B580" s="7"/>
      <c r="C580" s="7"/>
      <c r="D580" s="7"/>
      <c r="E580" s="7"/>
      <c r="F580" s="7"/>
      <c r="G580" s="7"/>
      <c r="H580" s="7"/>
      <c r="I580" s="7"/>
      <c r="J580" s="7"/>
      <c r="K580" s="7"/>
      <c r="L580" s="7"/>
      <c r="M580" s="7"/>
      <c r="N580" s="7"/>
      <c r="O580" s="7"/>
      <c r="P580" s="7"/>
      <c r="Q580" s="7"/>
      <c r="R580" s="7"/>
      <c r="S580" s="7"/>
      <c r="T580" s="7"/>
      <c r="U580" s="34"/>
      <c r="V580" s="34"/>
      <c r="W580" s="34"/>
      <c r="X580" s="34"/>
      <c r="Y580" s="34"/>
      <c r="Z580" s="34"/>
      <c r="AA580" s="34"/>
      <c r="AB580" s="34"/>
      <c r="AC580" s="34"/>
    </row>
    <row r="581" spans="1:29" s="1" customFormat="1" x14ac:dyDescent="0.25">
      <c r="A581" s="7"/>
      <c r="B581" s="85" t="s">
        <v>85</v>
      </c>
      <c r="C581" s="85"/>
      <c r="D581" s="87"/>
      <c r="E581" s="134"/>
      <c r="F581" s="88"/>
      <c r="G581" s="85" t="s">
        <v>86</v>
      </c>
      <c r="H581" s="85"/>
      <c r="I581" s="203"/>
      <c r="J581" s="82" t="s">
        <v>87</v>
      </c>
      <c r="K581" s="203"/>
      <c r="L581" s="82" t="s">
        <v>88</v>
      </c>
      <c r="M581" s="203"/>
      <c r="N581" s="7"/>
      <c r="O581" s="7"/>
      <c r="P581" s="7"/>
      <c r="Q581" s="7"/>
      <c r="R581" s="7"/>
      <c r="S581" s="7"/>
      <c r="T581" s="7"/>
      <c r="U581" s="34"/>
      <c r="V581" s="34"/>
      <c r="W581" s="34"/>
      <c r="X581" s="34"/>
      <c r="Y581" s="34"/>
      <c r="Z581" s="34"/>
      <c r="AA581" s="34"/>
      <c r="AB581" s="34"/>
      <c r="AC581" s="34"/>
    </row>
    <row r="582" spans="1:29" s="1" customFormat="1" x14ac:dyDescent="0.25">
      <c r="A582" s="7"/>
      <c r="B582" s="85" t="s">
        <v>90</v>
      </c>
      <c r="C582" s="85"/>
      <c r="D582" s="87"/>
      <c r="E582" s="134"/>
      <c r="F582" s="88"/>
      <c r="G582" s="85" t="s">
        <v>86</v>
      </c>
      <c r="H582" s="85"/>
      <c r="I582" s="203"/>
      <c r="J582" s="82" t="s">
        <v>87</v>
      </c>
      <c r="K582" s="203"/>
      <c r="L582" s="82" t="s">
        <v>88</v>
      </c>
      <c r="M582" s="203"/>
      <c r="N582" s="85" t="s">
        <v>89</v>
      </c>
      <c r="O582" s="85"/>
      <c r="P582" s="203"/>
      <c r="Q582" s="7"/>
      <c r="R582" s="7"/>
      <c r="S582" s="7"/>
      <c r="T582" s="7"/>
      <c r="U582" s="34"/>
      <c r="V582" s="34"/>
      <c r="W582" s="34"/>
      <c r="X582" s="34"/>
      <c r="Y582" s="34"/>
      <c r="Z582" s="34"/>
      <c r="AA582" s="34"/>
      <c r="AB582" s="34"/>
      <c r="AC582" s="34"/>
    </row>
    <row r="583" spans="1:29" s="1" customFormat="1" x14ac:dyDescent="0.25">
      <c r="B583" s="7"/>
      <c r="C583" s="7"/>
      <c r="D583" s="7"/>
      <c r="E583" s="7"/>
      <c r="F583" s="7"/>
      <c r="G583" s="7"/>
      <c r="H583" s="7"/>
      <c r="I583" s="7"/>
      <c r="J583" s="7"/>
      <c r="K583" s="7"/>
      <c r="L583" s="7"/>
      <c r="M583" s="7"/>
      <c r="N583" s="7"/>
      <c r="O583" s="7"/>
      <c r="P583" s="7"/>
      <c r="Q583" s="7"/>
      <c r="R583" s="7"/>
      <c r="S583" s="7"/>
      <c r="T583" s="7"/>
      <c r="U583" s="34"/>
      <c r="V583" s="34"/>
      <c r="W583" s="34"/>
      <c r="X583" s="34"/>
      <c r="Y583" s="34"/>
      <c r="Z583" s="34"/>
      <c r="AA583" s="34"/>
      <c r="AB583" s="34"/>
      <c r="AC583" s="34"/>
    </row>
    <row r="584" spans="1:29" s="1" customFormat="1" x14ac:dyDescent="0.25">
      <c r="B584" s="7" t="s">
        <v>938</v>
      </c>
      <c r="C584" s="7"/>
      <c r="D584" s="7"/>
      <c r="E584" s="7"/>
      <c r="F584" s="7"/>
      <c r="G584" s="7"/>
      <c r="H584" s="7"/>
      <c r="I584" s="7"/>
      <c r="J584" s="7"/>
      <c r="K584" s="7"/>
      <c r="L584" s="7"/>
      <c r="M584" s="7"/>
      <c r="N584" s="7"/>
      <c r="O584" s="7"/>
      <c r="P584" s="7"/>
      <c r="Q584" s="7"/>
      <c r="R584" s="7"/>
      <c r="S584" s="7"/>
      <c r="T584" s="7"/>
      <c r="U584" s="34"/>
      <c r="V584" s="34"/>
      <c r="W584" s="34"/>
      <c r="X584" s="34"/>
      <c r="Y584" s="34"/>
      <c r="Z584" s="34"/>
      <c r="AA584" s="34"/>
      <c r="AB584" s="34"/>
      <c r="AC584" s="34"/>
    </row>
    <row r="585" spans="1:29" s="7" customFormat="1" x14ac:dyDescent="0.25">
      <c r="B585" s="111" t="s">
        <v>62</v>
      </c>
      <c r="C585" s="111"/>
      <c r="D585" s="111"/>
      <c r="E585" s="111" t="s">
        <v>63</v>
      </c>
      <c r="F585" s="111"/>
      <c r="G585" s="111"/>
      <c r="H585" s="111" t="s">
        <v>64</v>
      </c>
      <c r="I585" s="111"/>
      <c r="J585" s="111"/>
      <c r="K585" s="111" t="s">
        <v>65</v>
      </c>
      <c r="L585" s="111"/>
      <c r="M585" s="111" t="s">
        <v>60</v>
      </c>
      <c r="N585" s="111"/>
      <c r="O585" s="111"/>
      <c r="P585" s="111" t="s">
        <v>61</v>
      </c>
      <c r="Q585" s="111"/>
      <c r="U585" s="34"/>
      <c r="V585" s="34"/>
      <c r="W585" s="34"/>
      <c r="X585" s="34"/>
      <c r="Y585" s="34"/>
      <c r="Z585" s="34"/>
      <c r="AA585" s="34"/>
      <c r="AB585" s="34"/>
      <c r="AC585" s="34"/>
    </row>
    <row r="586" spans="1:29" s="1" customFormat="1" x14ac:dyDescent="0.25">
      <c r="B586" s="210">
        <f>LOOKUP(F560, {1,2,3,4,5,6,7,8,9,10,11,12,13,14,15,16,17,18,19,20,21,22,23,24,25,26,27,28,29,30,31,32,33,34,35,36,37,38,39,40}, {3,6,10,13,16,20,23,26,30,33,38,43,50,58,66,76,86,100,116,133,153,173,200,233,266,306,346,400,466,532,612,692,800,932,1064,1224,1384,1600,1864,2128})</f>
        <v>133</v>
      </c>
      <c r="C586" s="210"/>
      <c r="D586" s="210"/>
      <c r="E586" s="210">
        <f>LOOKUP(F560, {1,2,3,4,5,6,7,8,9,10,11,12,13,14,15,16,17,18,19,20,21,22,23,24,25,26,27,28,29,30,31,32,33,34,35,36,37,38,39,40}, {6,13,20,26,33,40,46,53,60,66,76,86,100,116,133,153,173,200,233,266,306,346,400,466,533,613,693,800,933,1064,1224,1384,1600,1864,2132,2452,2772,3200,3732,4256})</f>
        <v>266</v>
      </c>
      <c r="F586" s="210"/>
      <c r="G586" s="210"/>
      <c r="H586" s="210">
        <f>LOOKUP(F560, {1,2,3,4,5,6,7,8,9,10,11,12,13,14,15,16,17,18,19,20,21,22,23,24,25,26,27,28,29,30,31,32,33,34,35,36,37,38,39,40}, {10,20,30,40,50,60,70,80,90,100,115,130,150,175,200,230,260,300,350,400,460,520,600,700,800,920,1040,1200,1400,1600,1840,2080,2400,2800,3200,3680,4160,4800,5600,6400})</f>
        <v>400</v>
      </c>
      <c r="I586" s="210"/>
      <c r="J586" s="210"/>
      <c r="K586" s="210">
        <v>0</v>
      </c>
      <c r="L586" s="210"/>
      <c r="M586" s="211">
        <v>30</v>
      </c>
      <c r="N586" s="211"/>
      <c r="O586" s="211"/>
      <c r="P586" s="210">
        <f>IF(M586&gt;=30,M586-(IF(B586&gt;=K586,0,10)),M586-(IF(B586&gt;=K586,0,5)))</f>
        <v>30</v>
      </c>
      <c r="Q586" s="210"/>
      <c r="R586" s="17">
        <f>IF(AND(K586&gt;B586,K586&lt;=E586),-3,IF(AND(K586&gt;E586,K586&lt;=H586),-6,0))</f>
        <v>0</v>
      </c>
      <c r="U586" s="34"/>
      <c r="V586" s="34"/>
      <c r="W586" s="34"/>
      <c r="X586" s="34"/>
      <c r="Y586" s="34"/>
      <c r="Z586" s="34"/>
      <c r="AA586" s="34"/>
      <c r="AB586" s="34"/>
      <c r="AC586" s="34"/>
    </row>
    <row r="587" spans="1:29" s="1" customFormat="1" x14ac:dyDescent="0.25">
      <c r="B587" s="7"/>
      <c r="C587" s="7"/>
      <c r="D587" s="7"/>
      <c r="E587" s="7"/>
      <c r="F587" s="7"/>
      <c r="G587" s="7"/>
      <c r="H587" s="7"/>
      <c r="I587" s="7"/>
      <c r="J587" s="7"/>
      <c r="K587" s="7"/>
      <c r="L587" s="7"/>
      <c r="M587" s="7"/>
      <c r="N587" s="7"/>
      <c r="O587" s="7"/>
      <c r="P587" s="7"/>
      <c r="Q587" s="7"/>
      <c r="R587" s="7"/>
      <c r="S587" s="7"/>
      <c r="T587" s="7"/>
      <c r="U587" s="34"/>
      <c r="V587" s="34"/>
      <c r="W587" s="34"/>
      <c r="X587" s="34"/>
      <c r="Y587" s="34"/>
      <c r="Z587" s="34"/>
      <c r="AA587" s="34"/>
      <c r="AB587" s="34"/>
      <c r="AC587" s="34"/>
    </row>
    <row r="588" spans="1:29" s="1" customFormat="1" x14ac:dyDescent="0.25">
      <c r="B588" s="7" t="s">
        <v>973</v>
      </c>
      <c r="C588" s="7"/>
      <c r="D588" s="7"/>
      <c r="E588" s="7"/>
      <c r="F588" s="7"/>
      <c r="G588" s="7"/>
      <c r="H588" s="7"/>
      <c r="I588" s="7"/>
      <c r="J588" s="7"/>
      <c r="K588" s="7"/>
      <c r="L588" s="7"/>
      <c r="M588" s="7"/>
      <c r="N588" s="7"/>
      <c r="O588" s="7"/>
      <c r="P588" s="7"/>
      <c r="Q588" s="7"/>
      <c r="R588" s="7"/>
      <c r="S588" s="7"/>
      <c r="T588" s="7"/>
      <c r="U588" s="34"/>
      <c r="V588" s="34"/>
      <c r="W588" s="34"/>
      <c r="X588" s="34"/>
      <c r="Y588" s="34"/>
      <c r="Z588" s="34"/>
      <c r="AA588" s="34"/>
      <c r="AB588" s="34"/>
      <c r="AC588" s="34"/>
    </row>
    <row r="589" spans="1:29" s="7" customFormat="1" x14ac:dyDescent="0.25">
      <c r="B589" s="111" t="s">
        <v>62</v>
      </c>
      <c r="C589" s="111"/>
      <c r="D589" s="111"/>
      <c r="E589" s="111" t="s">
        <v>63</v>
      </c>
      <c r="F589" s="111"/>
      <c r="G589" s="111"/>
      <c r="H589" s="111" t="s">
        <v>64</v>
      </c>
      <c r="I589" s="111"/>
      <c r="J589" s="111"/>
      <c r="K589" s="111" t="s">
        <v>65</v>
      </c>
      <c r="L589" s="111"/>
      <c r="M589" s="111" t="s">
        <v>60</v>
      </c>
      <c r="N589" s="111"/>
      <c r="O589" s="111"/>
      <c r="P589" s="111" t="s">
        <v>61</v>
      </c>
      <c r="Q589" s="111"/>
      <c r="U589" s="34"/>
      <c r="V589" s="34"/>
      <c r="W589" s="34"/>
      <c r="X589" s="34"/>
      <c r="Y589" s="34"/>
      <c r="Z589" s="34"/>
      <c r="AA589" s="34"/>
      <c r="AB589" s="34"/>
      <c r="AC589" s="34"/>
    </row>
    <row r="590" spans="1:29" s="1" customFormat="1" x14ac:dyDescent="0.25">
      <c r="B590" s="210">
        <f>LOOKUP(F560, {1,2,3,4,5,6,7,8,9,10,11,12,13,14,15,16,17,18,19,20,21,22,23,24,25,26,27,28,29,30,31,32,33,34,35,36,37,38,39,40}, {3,6,10,13,16,20,23,26,30,33,38,43,50,58,66,76,86,100,116,133,153,173,200,233,266,306,346,400,466,532,612,692,800,932,1064,1224,1384,1600,1864,2128})</f>
        <v>133</v>
      </c>
      <c r="C590" s="210"/>
      <c r="D590" s="210"/>
      <c r="E590" s="210">
        <f>LOOKUP(F560, {1,2,3,4,5,6,7,8,9,10,11,12,13,14,15,16,17,18,19,20,21,22,23,24,25,26,27,28,29,30,31,32,33,34,35,36,37,38,39,40}, {6,13,20,26,33,40,46,53,60,66,76,86,100,116,133,153,173,200,233,266,306,346,400,466,533,613,693,800,933,1064,1224,1384,1600,1864,2132,2452,2772,3200,3732,4256})</f>
        <v>266</v>
      </c>
      <c r="F590" s="210"/>
      <c r="G590" s="210"/>
      <c r="H590" s="210">
        <f>LOOKUP(F560, {1,2,3,4,5,6,7,8,9,10,11,12,13,14,15,16,17,18,19,20,21,22,23,24,25,26,27,28,29,30,31,32,33,34,35,36,37,38,39,40}, {10,20,30,40,50,60,70,80,90,100,115,130,150,175,200,230,260,300,350,400,460,520,600,700,800,920,1040,1200,1400,1600,1840,2080,2400,2800,3200,3680,4160,4800,5600,6400})</f>
        <v>400</v>
      </c>
      <c r="I590" s="210"/>
      <c r="J590" s="210"/>
      <c r="K590" s="210">
        <v>0</v>
      </c>
      <c r="L590" s="210"/>
      <c r="M590" s="211">
        <v>0</v>
      </c>
      <c r="N590" s="211"/>
      <c r="O590" s="211"/>
      <c r="P590" s="210">
        <f>IF(M590&gt;=30,M590-(IF(B590&gt;=K590,0,10)),M590-(IF(B590&gt;=K590,0,5)))</f>
        <v>0</v>
      </c>
      <c r="Q590" s="210"/>
      <c r="R590" s="17">
        <f>IF(AND(K590&gt;B590,K590&lt;=E590),-3,IF(AND(K590&gt;E590,K590&lt;=H590),-6,0))</f>
        <v>0</v>
      </c>
      <c r="U590" s="34"/>
      <c r="V590" s="34"/>
      <c r="W590" s="34"/>
      <c r="X590" s="34"/>
      <c r="Y590" s="34"/>
      <c r="Z590" s="34"/>
      <c r="AA590" s="34"/>
      <c r="AB590" s="34"/>
      <c r="AC590" s="34"/>
    </row>
    <row r="591" spans="1:29" s="1" customFormat="1" x14ac:dyDescent="0.25">
      <c r="B591" s="7"/>
      <c r="C591" s="7"/>
      <c r="D591" s="7"/>
      <c r="E591" s="7"/>
      <c r="F591" s="7"/>
      <c r="G591" s="7"/>
      <c r="H591" s="7"/>
      <c r="I591" s="7"/>
      <c r="J591" s="7"/>
      <c r="K591" s="7"/>
      <c r="L591" s="7"/>
      <c r="M591" s="7"/>
      <c r="N591" s="7"/>
      <c r="O591" s="7"/>
      <c r="P591" s="7"/>
      <c r="Q591" s="7"/>
      <c r="R591" s="7"/>
      <c r="S591" s="7"/>
      <c r="T591" s="7"/>
      <c r="U591" s="34"/>
      <c r="V591" s="34"/>
      <c r="W591" s="34"/>
      <c r="X591" s="34"/>
      <c r="Y591" s="34"/>
      <c r="Z591" s="34"/>
      <c r="AA591" s="34"/>
      <c r="AB591" s="34"/>
      <c r="AC591" s="34"/>
    </row>
    <row r="592" spans="1:29" s="7" customFormat="1" x14ac:dyDescent="0.25">
      <c r="B592" s="7" t="s">
        <v>92</v>
      </c>
      <c r="U592" s="34"/>
      <c r="V592" s="34"/>
      <c r="W592" s="34"/>
      <c r="X592" s="34"/>
      <c r="Y592" s="34"/>
      <c r="Z592" s="34"/>
      <c r="AA592" s="34"/>
      <c r="AB592" s="34"/>
      <c r="AC592" s="34"/>
    </row>
    <row r="593" spans="2:29" s="7" customFormat="1" ht="15" customHeight="1" x14ac:dyDescent="0.25">
      <c r="B593" s="139" t="s">
        <v>22</v>
      </c>
      <c r="C593" s="140"/>
      <c r="D593" s="140"/>
      <c r="E593" s="141"/>
      <c r="F593" s="139" t="s">
        <v>93</v>
      </c>
      <c r="G593" s="140"/>
      <c r="H593" s="140"/>
      <c r="I593" s="140"/>
      <c r="J593" s="140"/>
      <c r="K593" s="140"/>
      <c r="L593" s="140"/>
      <c r="M593" s="140"/>
      <c r="N593" s="140"/>
      <c r="O593" s="140"/>
      <c r="P593" s="141"/>
      <c r="Q593" s="139" t="s">
        <v>42</v>
      </c>
      <c r="R593" s="140"/>
      <c r="S593" s="141"/>
      <c r="U593" s="34"/>
      <c r="V593" s="34"/>
      <c r="W593" s="34"/>
      <c r="X593" s="34"/>
      <c r="Y593" s="34"/>
      <c r="Z593" s="34"/>
      <c r="AA593" s="34"/>
      <c r="AB593" s="34"/>
      <c r="AC593" s="34"/>
    </row>
    <row r="594" spans="2:29" s="7" customFormat="1" x14ac:dyDescent="0.25">
      <c r="B594" s="128"/>
      <c r="C594" s="130"/>
      <c r="D594" s="130"/>
      <c r="E594" s="129"/>
      <c r="F594" s="212"/>
      <c r="G594" s="130"/>
      <c r="H594" s="130"/>
      <c r="I594" s="130"/>
      <c r="J594" s="130"/>
      <c r="K594" s="130"/>
      <c r="L594" s="130"/>
      <c r="M594" s="130"/>
      <c r="N594" s="130"/>
      <c r="O594" s="130"/>
      <c r="P594" s="129"/>
      <c r="Q594" s="128"/>
      <c r="R594" s="130"/>
      <c r="S594" s="129"/>
      <c r="U594" s="34"/>
      <c r="V594" s="34"/>
      <c r="W594" s="34"/>
      <c r="X594" s="34"/>
      <c r="Y594" s="34"/>
      <c r="Z594" s="34"/>
      <c r="AA594" s="34"/>
      <c r="AB594" s="34"/>
      <c r="AC594" s="34"/>
    </row>
    <row r="595" spans="2:29" s="1" customFormat="1" x14ac:dyDescent="0.25">
      <c r="B595" s="7"/>
      <c r="C595" s="7"/>
      <c r="D595" s="7"/>
      <c r="E595" s="7"/>
      <c r="F595" s="7"/>
      <c r="G595" s="7"/>
      <c r="H595" s="7"/>
      <c r="I595" s="7"/>
      <c r="J595" s="7"/>
      <c r="K595" s="7"/>
      <c r="L595" s="7"/>
      <c r="M595" s="7"/>
      <c r="N595" s="7"/>
      <c r="O595" s="7"/>
      <c r="P595" s="7"/>
      <c r="Q595" s="7"/>
      <c r="R595" s="7"/>
      <c r="S595" s="7"/>
      <c r="T595" s="7"/>
      <c r="U595" s="34"/>
      <c r="V595" s="34"/>
      <c r="W595" s="34"/>
      <c r="X595" s="34"/>
      <c r="Y595" s="34"/>
      <c r="Z595" s="34"/>
      <c r="AA595" s="34"/>
      <c r="AB595" s="34"/>
      <c r="AC595" s="34"/>
    </row>
    <row r="596" spans="2:29" s="7" customFormat="1" ht="15" customHeight="1" x14ac:dyDescent="0.25">
      <c r="B596" s="7" t="s">
        <v>926</v>
      </c>
      <c r="U596" s="34"/>
      <c r="V596" s="34"/>
      <c r="W596" s="34"/>
      <c r="X596" s="34"/>
      <c r="Y596" s="34"/>
      <c r="Z596" s="34"/>
      <c r="AA596" s="34"/>
      <c r="AB596" s="34"/>
      <c r="AC596" s="34"/>
    </row>
    <row r="597" spans="2:29" s="7" customFormat="1" ht="15" customHeight="1" x14ac:dyDescent="0.25">
      <c r="B597" s="139" t="s">
        <v>22</v>
      </c>
      <c r="C597" s="140"/>
      <c r="D597" s="140"/>
      <c r="E597" s="141"/>
      <c r="F597" s="139" t="s">
        <v>93</v>
      </c>
      <c r="G597" s="140"/>
      <c r="H597" s="140"/>
      <c r="I597" s="140"/>
      <c r="J597" s="140"/>
      <c r="K597" s="140"/>
      <c r="L597" s="140"/>
      <c r="M597" s="140"/>
      <c r="N597" s="140"/>
      <c r="O597" s="140"/>
      <c r="P597" s="141"/>
      <c r="Q597" s="139" t="s">
        <v>42</v>
      </c>
      <c r="R597" s="140"/>
      <c r="S597" s="141"/>
      <c r="U597" s="34"/>
      <c r="V597" s="34"/>
      <c r="W597" s="34"/>
      <c r="X597" s="34"/>
      <c r="Y597" s="34"/>
      <c r="Z597" s="34"/>
      <c r="AA597" s="34"/>
      <c r="AB597" s="34"/>
      <c r="AC597" s="34"/>
    </row>
    <row r="598" spans="2:29" s="7" customFormat="1" x14ac:dyDescent="0.25">
      <c r="B598" s="128"/>
      <c r="C598" s="130"/>
      <c r="D598" s="130"/>
      <c r="E598" s="129"/>
      <c r="F598" s="212"/>
      <c r="G598" s="130"/>
      <c r="H598" s="130"/>
      <c r="I598" s="130"/>
      <c r="J598" s="130"/>
      <c r="K598" s="130"/>
      <c r="L598" s="130"/>
      <c r="M598" s="130"/>
      <c r="N598" s="130"/>
      <c r="O598" s="130"/>
      <c r="P598" s="129"/>
      <c r="Q598" s="128"/>
      <c r="R598" s="130"/>
      <c r="S598" s="129"/>
      <c r="U598" s="34"/>
      <c r="V598" s="34"/>
      <c r="W598" s="34"/>
      <c r="X598" s="34"/>
      <c r="Y598" s="34"/>
      <c r="Z598" s="34"/>
      <c r="AA598" s="34"/>
      <c r="AB598" s="34"/>
      <c r="AC598" s="34"/>
    </row>
    <row r="599" spans="2:29" s="1" customFormat="1" x14ac:dyDescent="0.25">
      <c r="B599" s="7"/>
      <c r="C599" s="7"/>
      <c r="D599" s="7"/>
      <c r="E599" s="7"/>
      <c r="F599" s="7"/>
      <c r="G599" s="7"/>
      <c r="H599" s="7"/>
      <c r="I599" s="7"/>
      <c r="J599" s="7"/>
      <c r="K599" s="7"/>
      <c r="L599" s="7"/>
      <c r="M599" s="7"/>
      <c r="N599" s="7"/>
      <c r="O599" s="7"/>
      <c r="P599" s="7"/>
      <c r="Q599" s="7"/>
      <c r="R599" s="7"/>
      <c r="S599" s="7"/>
      <c r="T599" s="7"/>
      <c r="U599" s="34"/>
      <c r="V599" s="34"/>
      <c r="W599" s="34"/>
      <c r="X599" s="34"/>
      <c r="Y599" s="34"/>
      <c r="Z599" s="34"/>
      <c r="AA599" s="34"/>
      <c r="AB599" s="34"/>
      <c r="AC599" s="34"/>
    </row>
    <row r="600" spans="2:29" s="7" customFormat="1" ht="15" customHeight="1" x14ac:dyDescent="0.25">
      <c r="B600" s="7" t="s">
        <v>930</v>
      </c>
      <c r="U600" s="34"/>
      <c r="V600" s="34"/>
      <c r="W600" s="34"/>
      <c r="X600" s="34"/>
      <c r="Y600" s="34"/>
      <c r="Z600" s="34"/>
      <c r="AA600" s="34"/>
      <c r="AB600" s="34"/>
      <c r="AC600" s="34"/>
    </row>
    <row r="601" spans="2:29" s="7" customFormat="1" ht="15" customHeight="1" x14ac:dyDescent="0.25">
      <c r="B601" s="139" t="s">
        <v>22</v>
      </c>
      <c r="C601" s="140"/>
      <c r="D601" s="140"/>
      <c r="E601" s="141"/>
      <c r="F601" s="139" t="s">
        <v>93</v>
      </c>
      <c r="G601" s="140"/>
      <c r="H601" s="140"/>
      <c r="I601" s="140"/>
      <c r="J601" s="140"/>
      <c r="K601" s="140"/>
      <c r="L601" s="140"/>
      <c r="M601" s="140"/>
      <c r="N601" s="140"/>
      <c r="O601" s="140"/>
      <c r="P601" s="141"/>
      <c r="Q601" s="139" t="s">
        <v>42</v>
      </c>
      <c r="R601" s="140"/>
      <c r="S601" s="141"/>
      <c r="U601" s="34"/>
      <c r="V601" s="34"/>
      <c r="W601" s="34"/>
      <c r="X601" s="34"/>
      <c r="Y601" s="34"/>
      <c r="Z601" s="34"/>
      <c r="AA601" s="34"/>
      <c r="AB601" s="34"/>
      <c r="AC601" s="34"/>
    </row>
    <row r="602" spans="2:29" s="7" customFormat="1" x14ac:dyDescent="0.25">
      <c r="B602" s="128"/>
      <c r="C602" s="130"/>
      <c r="D602" s="130"/>
      <c r="E602" s="129"/>
      <c r="F602" s="212"/>
      <c r="G602" s="130"/>
      <c r="H602" s="130"/>
      <c r="I602" s="130"/>
      <c r="J602" s="130"/>
      <c r="K602" s="130"/>
      <c r="L602" s="130"/>
      <c r="M602" s="130"/>
      <c r="N602" s="130"/>
      <c r="O602" s="130"/>
      <c r="P602" s="129"/>
      <c r="Q602" s="128"/>
      <c r="R602" s="130"/>
      <c r="S602" s="129"/>
      <c r="U602" s="34"/>
      <c r="V602" s="34"/>
      <c r="W602" s="34"/>
      <c r="X602" s="34"/>
      <c r="Y602" s="34"/>
      <c r="Z602" s="34"/>
      <c r="AA602" s="34"/>
      <c r="AB602" s="34"/>
      <c r="AC602" s="34"/>
    </row>
    <row r="603" spans="2:29" s="1" customFormat="1" x14ac:dyDescent="0.25">
      <c r="B603" s="7"/>
      <c r="C603" s="7"/>
      <c r="D603" s="7"/>
      <c r="E603" s="7"/>
      <c r="F603" s="7"/>
      <c r="G603" s="7"/>
      <c r="H603" s="7"/>
      <c r="I603" s="7"/>
      <c r="J603" s="7"/>
      <c r="K603" s="7"/>
      <c r="L603" s="7"/>
      <c r="M603" s="7"/>
      <c r="N603" s="7"/>
      <c r="O603" s="7"/>
      <c r="P603" s="7"/>
      <c r="Q603" s="7"/>
      <c r="R603" s="7"/>
      <c r="S603" s="7"/>
      <c r="T603" s="7"/>
      <c r="U603" s="34"/>
      <c r="V603" s="34"/>
      <c r="W603" s="34"/>
      <c r="X603" s="34"/>
      <c r="Y603" s="34"/>
      <c r="Z603" s="34"/>
      <c r="AA603" s="34"/>
      <c r="AB603" s="34"/>
      <c r="AC603" s="34"/>
    </row>
    <row r="604" spans="2:29" s="5" customFormat="1" x14ac:dyDescent="0.25">
      <c r="B604" s="11"/>
      <c r="C604" s="11"/>
      <c r="D604" s="11"/>
      <c r="E604" s="11"/>
      <c r="F604" s="11"/>
      <c r="G604" s="11"/>
      <c r="H604" s="11"/>
      <c r="I604" s="11"/>
      <c r="J604" s="11"/>
      <c r="K604" s="11"/>
      <c r="L604" s="11"/>
      <c r="M604" s="11"/>
      <c r="N604" s="11"/>
      <c r="O604" s="11"/>
      <c r="P604" s="11"/>
      <c r="Q604" s="11"/>
      <c r="R604" s="11"/>
      <c r="S604" s="11"/>
      <c r="T604" s="11"/>
      <c r="U604" s="33"/>
      <c r="V604" s="33"/>
      <c r="W604" s="33"/>
      <c r="X604" s="33"/>
      <c r="Y604" s="33"/>
      <c r="Z604" s="33"/>
      <c r="AA604" s="33"/>
      <c r="AB604" s="33"/>
      <c r="AC604" s="33"/>
    </row>
    <row r="605" spans="2:29" s="1" customFormat="1" x14ac:dyDescent="0.25">
      <c r="B605" s="164" t="s">
        <v>5</v>
      </c>
      <c r="C605" s="164"/>
      <c r="D605" s="128"/>
      <c r="E605" s="130"/>
      <c r="F605" s="129"/>
      <c r="U605" s="34"/>
      <c r="V605" s="34"/>
      <c r="W605" s="34"/>
      <c r="X605" s="34"/>
      <c r="Y605" s="34"/>
      <c r="Z605" s="34"/>
      <c r="AA605" s="34"/>
      <c r="AB605" s="34"/>
      <c r="AC605" s="34"/>
    </row>
    <row r="606" spans="2:29" s="1" customFormat="1" x14ac:dyDescent="0.25">
      <c r="B606" s="164" t="s">
        <v>208</v>
      </c>
      <c r="C606" s="164"/>
      <c r="D606" s="128"/>
      <c r="E606" s="130"/>
      <c r="F606" s="129"/>
      <c r="U606" s="34"/>
      <c r="V606" s="34"/>
      <c r="W606" s="34"/>
      <c r="X606" s="34"/>
      <c r="Y606" s="34"/>
      <c r="Z606" s="34"/>
      <c r="AA606" s="34"/>
      <c r="AB606" s="34"/>
      <c r="AC606" s="34"/>
    </row>
    <row r="607" spans="2:29" s="1" customFormat="1" x14ac:dyDescent="0.25">
      <c r="B607" s="164" t="s">
        <v>17</v>
      </c>
      <c r="C607" s="164"/>
      <c r="D607" s="128" t="s">
        <v>83</v>
      </c>
      <c r="E607" s="130"/>
      <c r="F607" s="129"/>
      <c r="U607" s="34"/>
      <c r="V607" s="34"/>
      <c r="W607" s="34"/>
      <c r="X607" s="34"/>
      <c r="Y607" s="34"/>
      <c r="Z607" s="34"/>
      <c r="AA607" s="34"/>
      <c r="AB607" s="34"/>
      <c r="AC607" s="34"/>
    </row>
    <row r="608" spans="2:29" s="1" customFormat="1" x14ac:dyDescent="0.25">
      <c r="B608" s="164" t="s">
        <v>912</v>
      </c>
      <c r="C608" s="164"/>
      <c r="D608" s="128"/>
      <c r="E608" s="130"/>
      <c r="F608" s="129"/>
      <c r="U608" s="34"/>
      <c r="V608" s="34"/>
      <c r="W608" s="34"/>
      <c r="X608" s="34"/>
      <c r="Y608" s="34"/>
      <c r="Z608" s="34"/>
      <c r="AA608" s="34"/>
      <c r="AB608" s="34"/>
      <c r="AC608" s="34"/>
    </row>
    <row r="609" spans="1:29" s="1" customFormat="1" x14ac:dyDescent="0.25">
      <c r="B609" s="7"/>
      <c r="C609" s="7"/>
      <c r="D609" s="7"/>
      <c r="E609" s="7"/>
      <c r="F609" s="7"/>
      <c r="G609" s="7"/>
      <c r="H609" s="7"/>
      <c r="I609" s="7"/>
      <c r="J609" s="7"/>
      <c r="K609" s="7"/>
      <c r="L609" s="7"/>
      <c r="M609" s="7"/>
      <c r="N609" s="7"/>
      <c r="O609" s="7"/>
      <c r="P609" s="7"/>
      <c r="Q609" s="7"/>
      <c r="R609" s="7"/>
      <c r="S609" s="7"/>
      <c r="T609" s="7"/>
      <c r="U609" s="34"/>
      <c r="V609" s="34"/>
      <c r="W609" s="34"/>
      <c r="X609" s="34"/>
      <c r="Y609" s="34"/>
      <c r="Z609" s="34"/>
      <c r="AA609" s="34"/>
      <c r="AB609" s="34"/>
      <c r="AC609" s="34"/>
    </row>
    <row r="610" spans="1:29" s="1" customFormat="1" x14ac:dyDescent="0.25">
      <c r="B610" s="7" t="s">
        <v>915</v>
      </c>
      <c r="C610" s="7"/>
      <c r="D610" s="7"/>
      <c r="E610" s="7"/>
      <c r="F610" s="7"/>
      <c r="G610" s="7"/>
      <c r="H610" s="7"/>
      <c r="I610" s="7"/>
      <c r="J610" s="7"/>
      <c r="K610" s="7"/>
      <c r="L610" s="7"/>
      <c r="M610" s="7"/>
      <c r="N610" s="7"/>
      <c r="O610" s="7"/>
      <c r="P610" s="7"/>
      <c r="Q610" s="7"/>
      <c r="R610" s="7"/>
      <c r="S610" s="7"/>
      <c r="T610" s="7"/>
      <c r="U610" s="34"/>
      <c r="V610" s="34"/>
      <c r="W610" s="34"/>
      <c r="X610" s="34"/>
      <c r="Y610" s="34"/>
      <c r="Z610" s="34"/>
      <c r="AA610" s="34"/>
      <c r="AB610" s="34"/>
      <c r="AC610" s="34"/>
    </row>
    <row r="611" spans="1:29" s="1" customFormat="1" x14ac:dyDescent="0.25">
      <c r="B611" s="83" t="s">
        <v>22</v>
      </c>
      <c r="C611" s="78" t="s">
        <v>23</v>
      </c>
      <c r="D611" s="83" t="s">
        <v>255</v>
      </c>
      <c r="E611" s="83" t="s">
        <v>254</v>
      </c>
      <c r="F611" s="78" t="s">
        <v>68</v>
      </c>
      <c r="G611" s="78" t="s">
        <v>24</v>
      </c>
      <c r="I611" s="7"/>
      <c r="U611" s="34"/>
      <c r="V611" s="34"/>
      <c r="W611" s="34"/>
      <c r="X611" s="34"/>
      <c r="Y611" s="34"/>
      <c r="Z611" s="34"/>
      <c r="AA611" s="34"/>
      <c r="AB611" s="34"/>
      <c r="AC611" s="34"/>
    </row>
    <row r="612" spans="1:29" s="1" customFormat="1" x14ac:dyDescent="0.25">
      <c r="B612" s="83" t="s">
        <v>25</v>
      </c>
      <c r="C612" s="200">
        <v>14</v>
      </c>
      <c r="D612" s="2">
        <v>0</v>
      </c>
      <c r="E612" s="201">
        <v>0</v>
      </c>
      <c r="F612" s="53">
        <f>(C612+D612+E612+6)</f>
        <v>20</v>
      </c>
      <c r="G612" s="202">
        <f>FLOOR((F612-10)/2,1)</f>
        <v>5</v>
      </c>
      <c r="U612" s="34"/>
      <c r="V612" s="34"/>
      <c r="W612" s="34"/>
      <c r="X612" s="34"/>
      <c r="Y612" s="34"/>
      <c r="Z612" s="34"/>
      <c r="AA612" s="34"/>
      <c r="AB612" s="34"/>
      <c r="AC612" s="34"/>
    </row>
    <row r="613" spans="1:29" s="1" customFormat="1" x14ac:dyDescent="0.25">
      <c r="B613" s="83" t="s">
        <v>26</v>
      </c>
      <c r="C613" s="200">
        <v>14</v>
      </c>
      <c r="D613" s="2">
        <v>0</v>
      </c>
      <c r="E613" s="201">
        <v>0</v>
      </c>
      <c r="F613" s="53">
        <f t="shared" ref="F613" si="24">(C613+D613+E613)</f>
        <v>14</v>
      </c>
      <c r="G613" s="202">
        <f t="shared" ref="G613:G614" si="25">FLOOR((F613-10)/2,1)</f>
        <v>2</v>
      </c>
      <c r="U613" s="34"/>
      <c r="V613" s="34"/>
      <c r="W613" s="34"/>
      <c r="X613" s="34"/>
      <c r="Y613" s="34"/>
      <c r="Z613" s="34"/>
      <c r="AA613" s="34"/>
      <c r="AB613" s="34"/>
      <c r="AC613" s="34"/>
    </row>
    <row r="614" spans="1:29" s="1" customFormat="1" x14ac:dyDescent="0.25">
      <c r="B614" s="8" t="s">
        <v>27</v>
      </c>
      <c r="C614" s="200">
        <v>16</v>
      </c>
      <c r="D614" s="2">
        <v>0</v>
      </c>
      <c r="E614" s="201">
        <v>0</v>
      </c>
      <c r="F614" s="53">
        <f>(C614+D614+E614+6)</f>
        <v>22</v>
      </c>
      <c r="G614" s="202">
        <f t="shared" si="25"/>
        <v>6</v>
      </c>
      <c r="U614" s="34"/>
      <c r="V614" s="34"/>
      <c r="W614" s="34"/>
      <c r="X614" s="34"/>
      <c r="Y614" s="34"/>
      <c r="Z614" s="34"/>
      <c r="AA614" s="34"/>
      <c r="AB614" s="34"/>
      <c r="AC614" s="34"/>
    </row>
    <row r="615" spans="1:29" s="1" customFormat="1" x14ac:dyDescent="0.25">
      <c r="B615" s="7"/>
      <c r="C615" s="7"/>
      <c r="D615" s="7"/>
      <c r="E615" s="7"/>
      <c r="F615" s="7"/>
      <c r="G615" s="7"/>
      <c r="H615" s="7"/>
      <c r="I615" s="7"/>
      <c r="J615" s="7"/>
      <c r="K615" s="7"/>
      <c r="L615" s="7"/>
      <c r="M615" s="7"/>
      <c r="N615" s="7"/>
      <c r="O615" s="7"/>
      <c r="P615" s="7"/>
      <c r="Q615" s="7"/>
      <c r="R615" s="7"/>
      <c r="S615" s="7"/>
      <c r="T615" s="7"/>
      <c r="U615" s="34"/>
      <c r="V615" s="34"/>
      <c r="W615" s="34"/>
      <c r="X615" s="34"/>
      <c r="Y615" s="34"/>
      <c r="Z615" s="34"/>
      <c r="AA615" s="34"/>
      <c r="AB615" s="34"/>
      <c r="AC615" s="34"/>
    </row>
    <row r="616" spans="1:29" s="1" customFormat="1" x14ac:dyDescent="0.25">
      <c r="B616" s="7" t="s">
        <v>934</v>
      </c>
      <c r="U616" s="34"/>
      <c r="V616" s="34"/>
      <c r="W616" s="34"/>
      <c r="X616" s="34"/>
      <c r="Y616" s="34"/>
      <c r="Z616" s="34"/>
      <c r="AA616" s="34"/>
      <c r="AB616" s="34"/>
      <c r="AC616" s="34"/>
    </row>
    <row r="617" spans="1:29" s="7" customFormat="1" x14ac:dyDescent="0.25">
      <c r="B617" s="83" t="s">
        <v>31</v>
      </c>
      <c r="C617" s="213">
        <f>(F617+I617+L617+O617)</f>
        <v>11</v>
      </c>
      <c r="D617" s="111" t="s">
        <v>34</v>
      </c>
      <c r="E617" s="111"/>
      <c r="F617" s="214">
        <v>5</v>
      </c>
      <c r="G617" s="215" t="s">
        <v>935</v>
      </c>
      <c r="H617" s="216"/>
      <c r="I617" s="213">
        <f>G614</f>
        <v>6</v>
      </c>
      <c r="J617" s="111" t="s">
        <v>936</v>
      </c>
      <c r="K617" s="111"/>
      <c r="L617" s="214"/>
      <c r="M617" s="111" t="s">
        <v>937</v>
      </c>
      <c r="N617" s="111"/>
      <c r="O617" s="214"/>
      <c r="U617" s="34"/>
      <c r="V617" s="34"/>
      <c r="W617" s="34"/>
      <c r="X617" s="34"/>
      <c r="Y617" s="34"/>
      <c r="Z617" s="34"/>
      <c r="AA617" s="34"/>
      <c r="AB617" s="34"/>
      <c r="AC617" s="34"/>
    </row>
    <row r="618" spans="1:29" s="7" customFormat="1" x14ac:dyDescent="0.25">
      <c r="B618" s="78" t="s">
        <v>32</v>
      </c>
      <c r="C618" s="213">
        <f>(F618+I618+L618+O618)</f>
        <v>5</v>
      </c>
      <c r="D618" s="111" t="s">
        <v>34</v>
      </c>
      <c r="E618" s="111"/>
      <c r="F618" s="214">
        <v>3</v>
      </c>
      <c r="G618" s="164" t="s">
        <v>70</v>
      </c>
      <c r="H618" s="164"/>
      <c r="I618" s="213">
        <f>IF(G613&gt;G630,G630,G613)</f>
        <v>2</v>
      </c>
      <c r="J618" s="111" t="s">
        <v>936</v>
      </c>
      <c r="K618" s="111"/>
      <c r="L618" s="214"/>
      <c r="M618" s="111" t="s">
        <v>937</v>
      </c>
      <c r="N618" s="111"/>
      <c r="O618" s="214"/>
      <c r="U618" s="34"/>
      <c r="V618" s="34"/>
      <c r="W618" s="34"/>
      <c r="X618" s="34"/>
      <c r="Y618" s="34"/>
      <c r="Z618" s="34"/>
      <c r="AA618" s="34"/>
      <c r="AB618" s="34"/>
      <c r="AC618" s="34"/>
    </row>
    <row r="619" spans="1:29" s="7" customFormat="1" x14ac:dyDescent="0.25">
      <c r="B619" s="78" t="s">
        <v>33</v>
      </c>
      <c r="C619" s="213">
        <f>(F619+I619+L619+O619)</f>
        <v>7</v>
      </c>
      <c r="D619" s="111" t="s">
        <v>34</v>
      </c>
      <c r="E619" s="111"/>
      <c r="F619" s="214">
        <v>1</v>
      </c>
      <c r="G619" s="164" t="s">
        <v>935</v>
      </c>
      <c r="H619" s="164"/>
      <c r="I619" s="213">
        <f>G614</f>
        <v>6</v>
      </c>
      <c r="J619" s="111" t="s">
        <v>936</v>
      </c>
      <c r="K619" s="111"/>
      <c r="L619" s="214"/>
      <c r="M619" s="111" t="s">
        <v>937</v>
      </c>
      <c r="N619" s="111"/>
      <c r="O619" s="214"/>
      <c r="U619" s="34"/>
      <c r="V619" s="34"/>
      <c r="W619" s="34"/>
      <c r="X619" s="34"/>
      <c r="Y619" s="34"/>
      <c r="Z619" s="34"/>
      <c r="AA619" s="34"/>
      <c r="AB619" s="34"/>
      <c r="AC619" s="34"/>
    </row>
    <row r="620" spans="1:29" s="1" customFormat="1" x14ac:dyDescent="0.25">
      <c r="U620" s="34"/>
      <c r="V620" s="34"/>
      <c r="W620" s="34"/>
      <c r="X620" s="34"/>
      <c r="Y620" s="34"/>
      <c r="Z620" s="34"/>
      <c r="AA620" s="34"/>
      <c r="AB620" s="34"/>
      <c r="AC620" s="34"/>
    </row>
    <row r="621" spans="1:29" s="1" customFormat="1" x14ac:dyDescent="0.25">
      <c r="B621" s="7" t="s">
        <v>916</v>
      </c>
      <c r="C621" s="7"/>
      <c r="D621" s="7"/>
      <c r="E621" s="7"/>
      <c r="F621" s="7"/>
      <c r="G621" s="7"/>
      <c r="H621" s="7"/>
      <c r="I621" s="7"/>
      <c r="J621" s="7"/>
      <c r="K621" s="7"/>
      <c r="L621" s="7"/>
      <c r="M621" s="7"/>
      <c r="N621" s="7"/>
      <c r="O621" s="7"/>
      <c r="P621" s="7"/>
      <c r="Q621" s="7"/>
      <c r="R621" s="7"/>
      <c r="S621" s="7"/>
      <c r="T621" s="7"/>
      <c r="U621" s="34"/>
      <c r="V621" s="34"/>
      <c r="W621" s="34"/>
      <c r="X621" s="34"/>
      <c r="Y621" s="34"/>
      <c r="Z621" s="34"/>
      <c r="AA621" s="34"/>
      <c r="AB621" s="34"/>
      <c r="AC621" s="34"/>
    </row>
    <row r="622" spans="1:29" s="1" customFormat="1" x14ac:dyDescent="0.25">
      <c r="A622" s="7"/>
      <c r="B622" s="85" t="s">
        <v>74</v>
      </c>
      <c r="C622" s="85"/>
      <c r="D622" s="203">
        <f>(G613+J622)</f>
        <v>2</v>
      </c>
      <c r="E622" s="85" t="s">
        <v>70</v>
      </c>
      <c r="F622" s="85"/>
      <c r="G622" s="203">
        <f>IF(G613&gt;G630,G630,G613)</f>
        <v>2</v>
      </c>
      <c r="H622" s="85" t="s">
        <v>39</v>
      </c>
      <c r="I622" s="85"/>
      <c r="J622" s="203"/>
      <c r="K622" s="7"/>
      <c r="L622" s="7"/>
      <c r="M622" s="7"/>
      <c r="N622" s="7"/>
      <c r="O622" s="7"/>
      <c r="P622" s="7"/>
      <c r="Q622" s="7"/>
      <c r="R622" s="7"/>
      <c r="S622" s="7"/>
      <c r="T622" s="7"/>
      <c r="U622" s="34"/>
      <c r="V622" s="34"/>
      <c r="W622" s="34"/>
      <c r="X622" s="34"/>
      <c r="Y622" s="34"/>
      <c r="Z622" s="34"/>
      <c r="AA622" s="34"/>
      <c r="AB622" s="34"/>
      <c r="AC622" s="34"/>
    </row>
    <row r="623" spans="1:29" s="1" customFormat="1" x14ac:dyDescent="0.25">
      <c r="A623" s="7"/>
      <c r="B623" s="7"/>
      <c r="C623" s="7"/>
      <c r="D623" s="7"/>
      <c r="E623" s="7"/>
      <c r="F623" s="7"/>
      <c r="G623" s="7"/>
      <c r="H623" s="7"/>
      <c r="I623" s="7"/>
      <c r="J623" s="7"/>
      <c r="K623" s="7"/>
      <c r="L623" s="7"/>
      <c r="M623" s="7"/>
      <c r="N623" s="7"/>
      <c r="O623" s="7"/>
      <c r="P623" s="7"/>
      <c r="Q623" s="7"/>
      <c r="R623" s="7"/>
      <c r="S623" s="7"/>
      <c r="T623" s="7"/>
      <c r="U623" s="34"/>
      <c r="V623" s="34"/>
      <c r="W623" s="34"/>
      <c r="X623" s="34"/>
      <c r="Y623" s="34"/>
      <c r="Z623" s="34"/>
      <c r="AA623" s="34"/>
      <c r="AB623" s="34"/>
      <c r="AC623" s="34"/>
    </row>
    <row r="624" spans="1:29" s="1" customFormat="1" x14ac:dyDescent="0.25">
      <c r="A624" s="7"/>
      <c r="B624" s="131" t="s">
        <v>75</v>
      </c>
      <c r="C624" s="133"/>
      <c r="D624" s="204">
        <f>(G612+J624+M624+P624)</f>
        <v>10</v>
      </c>
      <c r="E624" s="131" t="s">
        <v>71</v>
      </c>
      <c r="F624" s="133"/>
      <c r="G624" s="203">
        <v>3</v>
      </c>
      <c r="H624" s="131" t="s">
        <v>72</v>
      </c>
      <c r="I624" s="133"/>
      <c r="J624" s="204">
        <f>G612</f>
        <v>5</v>
      </c>
      <c r="K624" s="131" t="s">
        <v>73</v>
      </c>
      <c r="L624" s="133"/>
      <c r="M624" s="204">
        <f>VLOOKUP(D607,SizeTable,2,FALSE)</f>
        <v>0</v>
      </c>
      <c r="N624" s="131" t="s">
        <v>39</v>
      </c>
      <c r="O624" s="133"/>
      <c r="P624" s="203"/>
      <c r="Q624" s="7"/>
      <c r="R624" s="7"/>
      <c r="S624" s="7"/>
      <c r="T624" s="7"/>
      <c r="U624" s="34"/>
      <c r="V624" s="34"/>
      <c r="W624" s="34"/>
      <c r="X624" s="34"/>
      <c r="Y624" s="34"/>
      <c r="Z624" s="34"/>
      <c r="AA624" s="34"/>
      <c r="AB624" s="34"/>
      <c r="AC624" s="34"/>
    </row>
    <row r="625" spans="1:29" s="1" customFormat="1" x14ac:dyDescent="0.25">
      <c r="A625" s="7"/>
      <c r="B625" s="131" t="s">
        <v>76</v>
      </c>
      <c r="C625" s="133"/>
      <c r="D625" s="204">
        <f>(G625+J625+M625+P625)</f>
        <v>3</v>
      </c>
      <c r="E625" s="131" t="s">
        <v>71</v>
      </c>
      <c r="F625" s="133"/>
      <c r="G625" s="204">
        <f>G624</f>
        <v>3</v>
      </c>
      <c r="H625" s="131" t="s">
        <v>36</v>
      </c>
      <c r="I625" s="133"/>
      <c r="J625" s="204">
        <f>IF(G613&gt;G630,G630,G613)</f>
        <v>2</v>
      </c>
      <c r="K625" s="131" t="s">
        <v>73</v>
      </c>
      <c r="L625" s="133"/>
      <c r="M625" s="204">
        <f>VLOOKUP(D607,SizeTable,2,FALSE)</f>
        <v>0</v>
      </c>
      <c r="N625" s="131" t="s">
        <v>39</v>
      </c>
      <c r="O625" s="133"/>
      <c r="P625" s="203">
        <v>-2</v>
      </c>
      <c r="Q625" s="7"/>
      <c r="R625" s="7"/>
      <c r="S625" s="7"/>
      <c r="T625" s="7"/>
      <c r="U625" s="34"/>
      <c r="V625" s="34"/>
      <c r="W625" s="34"/>
      <c r="X625" s="34"/>
      <c r="Y625" s="34"/>
      <c r="Z625" s="34"/>
      <c r="AA625" s="34"/>
      <c r="AB625" s="34"/>
      <c r="AC625" s="34"/>
    </row>
    <row r="626" spans="1:29" s="1" customFormat="1" x14ac:dyDescent="0.25">
      <c r="A626" s="7"/>
      <c r="B626" s="131" t="s">
        <v>77</v>
      </c>
      <c r="C626" s="133"/>
      <c r="D626" s="204">
        <f>(G626+J626+M626+P626)</f>
        <v>8</v>
      </c>
      <c r="E626" s="131" t="s">
        <v>71</v>
      </c>
      <c r="F626" s="133"/>
      <c r="G626" s="204">
        <f>G625</f>
        <v>3</v>
      </c>
      <c r="H626" s="131" t="s">
        <v>72</v>
      </c>
      <c r="I626" s="133"/>
      <c r="J626" s="204">
        <f>G612</f>
        <v>5</v>
      </c>
      <c r="K626" s="131" t="s">
        <v>73</v>
      </c>
      <c r="L626" s="133"/>
      <c r="M626" s="204">
        <f>LOOKUP(VLOOKUP(D607,SizeTable,2,FALSE), {-8,-4,-2,-1,0,1,2,4,8},{16,12,8,4,0,-4,-8,-12,-16})</f>
        <v>0</v>
      </c>
      <c r="N626" s="131" t="s">
        <v>39</v>
      </c>
      <c r="O626" s="133"/>
      <c r="P626" s="203"/>
      <c r="Q626" s="7"/>
      <c r="R626" s="7"/>
      <c r="S626" s="7"/>
      <c r="T626" s="7"/>
      <c r="U626" s="34"/>
      <c r="V626" s="34"/>
      <c r="W626" s="34"/>
      <c r="X626" s="34"/>
      <c r="Y626" s="34"/>
      <c r="Z626" s="34"/>
      <c r="AA626" s="34"/>
      <c r="AB626" s="34"/>
      <c r="AC626" s="34"/>
    </row>
    <row r="627" spans="1:29" s="1" customFormat="1" x14ac:dyDescent="0.25">
      <c r="A627" s="7"/>
      <c r="B627" s="7"/>
      <c r="C627" s="7"/>
      <c r="D627" s="7"/>
      <c r="E627" s="7"/>
      <c r="F627" s="7"/>
      <c r="G627" s="7"/>
      <c r="H627" s="7"/>
      <c r="I627" s="7"/>
      <c r="J627" s="7"/>
      <c r="K627" s="7"/>
      <c r="L627" s="7"/>
      <c r="M627" s="7"/>
      <c r="N627" s="7"/>
      <c r="O627" s="7"/>
      <c r="P627" s="7"/>
      <c r="Q627" s="7"/>
      <c r="R627" s="7"/>
      <c r="S627" s="7"/>
      <c r="T627" s="7"/>
      <c r="U627" s="34"/>
      <c r="V627" s="34"/>
      <c r="W627" s="34"/>
      <c r="X627" s="34"/>
      <c r="Y627" s="34"/>
      <c r="Z627" s="34"/>
      <c r="AA627" s="34"/>
      <c r="AB627" s="34"/>
      <c r="AC627" s="34"/>
    </row>
    <row r="628" spans="1:29" s="1" customFormat="1" x14ac:dyDescent="0.25">
      <c r="A628" s="7"/>
      <c r="B628" s="85" t="s">
        <v>10</v>
      </c>
      <c r="C628" s="85"/>
      <c r="D628" s="204">
        <f>(10+G628+J628+M628+P628+J629+M629+P629+M630)</f>
        <v>12</v>
      </c>
      <c r="E628" s="85" t="s">
        <v>78</v>
      </c>
      <c r="F628" s="85"/>
      <c r="G628" s="204">
        <v>0</v>
      </c>
      <c r="H628" s="85" t="s">
        <v>36</v>
      </c>
      <c r="I628" s="85"/>
      <c r="J628" s="204">
        <f>IF(G613&gt;G630,G630,G613)</f>
        <v>2</v>
      </c>
      <c r="K628" s="85" t="s">
        <v>73</v>
      </c>
      <c r="L628" s="85"/>
      <c r="M628" s="204">
        <f>VLOOKUP(D607,SizeTable,2,FALSE)</f>
        <v>0</v>
      </c>
      <c r="N628" s="85" t="s">
        <v>79</v>
      </c>
      <c r="O628" s="85"/>
      <c r="P628" s="203">
        <v>0</v>
      </c>
      <c r="Q628" s="7"/>
      <c r="R628" s="7"/>
      <c r="S628" s="7"/>
      <c r="T628" s="7"/>
      <c r="U628" s="34"/>
      <c r="V628" s="34"/>
      <c r="W628" s="34"/>
      <c r="X628" s="34"/>
      <c r="Y628" s="34"/>
      <c r="Z628" s="34"/>
      <c r="AA628" s="34"/>
      <c r="AB628" s="34"/>
      <c r="AC628" s="34"/>
    </row>
    <row r="629" spans="1:29" s="1" customFormat="1" x14ac:dyDescent="0.25">
      <c r="A629" s="7"/>
      <c r="B629" s="131" t="s">
        <v>82</v>
      </c>
      <c r="C629" s="133"/>
      <c r="D629" s="204">
        <f>(10+J628+M628+J629+P629+M630)</f>
        <v>12</v>
      </c>
      <c r="E629" s="94" t="s">
        <v>177</v>
      </c>
      <c r="F629" s="96"/>
      <c r="G629" s="204">
        <f>(10+G628+M628+P628+J629+M629+P629)</f>
        <v>10</v>
      </c>
      <c r="H629" s="149" t="s">
        <v>81</v>
      </c>
      <c r="I629" s="150"/>
      <c r="J629" s="203">
        <v>0</v>
      </c>
      <c r="K629" s="85" t="s">
        <v>80</v>
      </c>
      <c r="L629" s="85"/>
      <c r="M629" s="203">
        <v>0</v>
      </c>
      <c r="N629" s="85" t="s">
        <v>39</v>
      </c>
      <c r="O629" s="85"/>
      <c r="P629" s="203">
        <v>0</v>
      </c>
      <c r="Q629" s="7"/>
      <c r="R629" s="7"/>
      <c r="S629" s="7"/>
      <c r="T629" s="7"/>
      <c r="U629" s="34"/>
      <c r="V629" s="34"/>
      <c r="W629" s="34"/>
      <c r="X629" s="34"/>
      <c r="Y629" s="34"/>
      <c r="Z629" s="34"/>
      <c r="AA629" s="34"/>
      <c r="AB629" s="34"/>
      <c r="AC629" s="34"/>
    </row>
    <row r="630" spans="1:29" s="1" customFormat="1" x14ac:dyDescent="0.25">
      <c r="A630" s="7"/>
      <c r="B630" s="189" t="s">
        <v>14</v>
      </c>
      <c r="C630" s="189"/>
      <c r="D630" s="205">
        <v>0</v>
      </c>
      <c r="E630" s="131" t="s">
        <v>15</v>
      </c>
      <c r="F630" s="133"/>
      <c r="G630" s="204">
        <v>4</v>
      </c>
      <c r="H630" s="149" t="s">
        <v>16</v>
      </c>
      <c r="I630" s="150"/>
      <c r="J630" s="206">
        <v>0</v>
      </c>
      <c r="K630" s="131" t="s">
        <v>84</v>
      </c>
      <c r="L630" s="133"/>
      <c r="M630" s="203">
        <v>0</v>
      </c>
      <c r="N630" s="7"/>
      <c r="O630" s="7"/>
      <c r="P630" s="7"/>
      <c r="Q630" s="7"/>
      <c r="R630" s="7"/>
      <c r="S630" s="7"/>
      <c r="T630" s="7"/>
      <c r="U630" s="34"/>
      <c r="V630" s="34"/>
      <c r="W630" s="34"/>
      <c r="X630" s="34"/>
      <c r="Y630" s="34"/>
      <c r="Z630" s="34"/>
      <c r="AA630" s="34"/>
      <c r="AB630" s="34"/>
      <c r="AC630" s="34"/>
    </row>
    <row r="631" spans="1:29" s="1" customFormat="1" x14ac:dyDescent="0.25">
      <c r="A631" s="7"/>
      <c r="B631" s="105" t="s">
        <v>243</v>
      </c>
      <c r="C631" s="107"/>
      <c r="D631" s="207"/>
      <c r="E631" s="208"/>
      <c r="F631" s="208"/>
      <c r="G631" s="208"/>
      <c r="H631" s="208"/>
      <c r="I631" s="208"/>
      <c r="J631" s="208"/>
      <c r="K631" s="208"/>
      <c r="L631" s="208"/>
      <c r="M631" s="208"/>
      <c r="N631" s="208"/>
      <c r="O631" s="208"/>
      <c r="P631" s="209"/>
      <c r="Q631" s="7"/>
      <c r="R631" s="7"/>
      <c r="S631" s="7"/>
      <c r="T631" s="7"/>
      <c r="U631" s="34"/>
      <c r="V631" s="34"/>
      <c r="W631" s="34"/>
      <c r="X631" s="34"/>
      <c r="Y631" s="34"/>
      <c r="Z631" s="34"/>
      <c r="AA631" s="34"/>
      <c r="AB631" s="34"/>
      <c r="AC631" s="34"/>
    </row>
    <row r="632" spans="1:29" s="1" customFormat="1" x14ac:dyDescent="0.25">
      <c r="A632" s="7"/>
      <c r="B632" s="7"/>
      <c r="C632" s="7"/>
      <c r="D632" s="7"/>
      <c r="E632" s="7"/>
      <c r="F632" s="7"/>
      <c r="G632" s="7"/>
      <c r="H632" s="7"/>
      <c r="I632" s="7"/>
      <c r="J632" s="7"/>
      <c r="K632" s="7"/>
      <c r="L632" s="7"/>
      <c r="M632" s="7"/>
      <c r="N632" s="7"/>
      <c r="O632" s="7"/>
      <c r="P632" s="7"/>
      <c r="Q632" s="7"/>
      <c r="R632" s="7"/>
      <c r="S632" s="7"/>
      <c r="T632" s="7"/>
      <c r="U632" s="34"/>
      <c r="V632" s="34"/>
      <c r="W632" s="34"/>
      <c r="X632" s="34"/>
      <c r="Y632" s="34"/>
      <c r="Z632" s="34"/>
      <c r="AA632" s="34"/>
      <c r="AB632" s="34"/>
      <c r="AC632" s="34"/>
    </row>
    <row r="633" spans="1:29" s="1" customFormat="1" x14ac:dyDescent="0.25">
      <c r="A633" s="7"/>
      <c r="B633" s="85" t="s">
        <v>85</v>
      </c>
      <c r="C633" s="85"/>
      <c r="D633" s="87"/>
      <c r="E633" s="134"/>
      <c r="F633" s="88"/>
      <c r="G633" s="85" t="s">
        <v>86</v>
      </c>
      <c r="H633" s="85"/>
      <c r="I633" s="203"/>
      <c r="J633" s="82" t="s">
        <v>87</v>
      </c>
      <c r="K633" s="203"/>
      <c r="L633" s="82" t="s">
        <v>88</v>
      </c>
      <c r="M633" s="203"/>
      <c r="N633" s="7"/>
      <c r="O633" s="7"/>
      <c r="P633" s="7"/>
      <c r="Q633" s="7"/>
      <c r="R633" s="7"/>
      <c r="S633" s="7"/>
      <c r="T633" s="7"/>
      <c r="U633" s="34"/>
      <c r="V633" s="34"/>
      <c r="W633" s="34"/>
      <c r="X633" s="34"/>
      <c r="Y633" s="34"/>
      <c r="Z633" s="34"/>
      <c r="AA633" s="34"/>
      <c r="AB633" s="34"/>
      <c r="AC633" s="34"/>
    </row>
    <row r="634" spans="1:29" s="1" customFormat="1" x14ac:dyDescent="0.25">
      <c r="A634" s="7"/>
      <c r="B634" s="85" t="s">
        <v>90</v>
      </c>
      <c r="C634" s="85"/>
      <c r="D634" s="87"/>
      <c r="E634" s="134"/>
      <c r="F634" s="88"/>
      <c r="G634" s="85" t="s">
        <v>86</v>
      </c>
      <c r="H634" s="85"/>
      <c r="I634" s="203"/>
      <c r="J634" s="82" t="s">
        <v>87</v>
      </c>
      <c r="K634" s="203"/>
      <c r="L634" s="82" t="s">
        <v>88</v>
      </c>
      <c r="M634" s="203"/>
      <c r="N634" s="85" t="s">
        <v>89</v>
      </c>
      <c r="O634" s="85"/>
      <c r="P634" s="203"/>
      <c r="Q634" s="7"/>
      <c r="R634" s="7"/>
      <c r="S634" s="7"/>
      <c r="T634" s="7"/>
      <c r="U634" s="34"/>
      <c r="V634" s="34"/>
      <c r="W634" s="34"/>
      <c r="X634" s="34"/>
      <c r="Y634" s="34"/>
      <c r="Z634" s="34"/>
      <c r="AA634" s="34"/>
      <c r="AB634" s="34"/>
      <c r="AC634" s="34"/>
    </row>
    <row r="635" spans="1:29" s="1" customFormat="1" x14ac:dyDescent="0.25">
      <c r="B635" s="7"/>
      <c r="C635" s="7"/>
      <c r="D635" s="7"/>
      <c r="E635" s="7"/>
      <c r="F635" s="7"/>
      <c r="G635" s="7"/>
      <c r="H635" s="7"/>
      <c r="I635" s="7"/>
      <c r="J635" s="7"/>
      <c r="K635" s="7"/>
      <c r="L635" s="7"/>
      <c r="M635" s="7"/>
      <c r="N635" s="7"/>
      <c r="O635" s="7"/>
      <c r="P635" s="7"/>
      <c r="Q635" s="7"/>
      <c r="R635" s="7"/>
      <c r="S635" s="7"/>
      <c r="T635" s="7"/>
      <c r="U635" s="34"/>
      <c r="V635" s="34"/>
      <c r="W635" s="34"/>
      <c r="X635" s="34"/>
      <c r="Y635" s="34"/>
      <c r="Z635" s="34"/>
      <c r="AA635" s="34"/>
      <c r="AB635" s="34"/>
      <c r="AC635" s="34"/>
    </row>
    <row r="636" spans="1:29" s="1" customFormat="1" x14ac:dyDescent="0.25">
      <c r="B636" s="7" t="s">
        <v>938</v>
      </c>
      <c r="C636" s="7"/>
      <c r="D636" s="7"/>
      <c r="E636" s="7"/>
      <c r="F636" s="7"/>
      <c r="G636" s="7"/>
      <c r="H636" s="7"/>
      <c r="I636" s="7"/>
      <c r="J636" s="7"/>
      <c r="K636" s="7"/>
      <c r="L636" s="7"/>
      <c r="M636" s="7"/>
      <c r="N636" s="7"/>
      <c r="O636" s="7"/>
      <c r="P636" s="7"/>
      <c r="Q636" s="7"/>
      <c r="R636" s="7"/>
      <c r="S636" s="7"/>
      <c r="T636" s="7"/>
      <c r="U636" s="34"/>
      <c r="V636" s="34"/>
      <c r="W636" s="34"/>
      <c r="X636" s="34"/>
      <c r="Y636" s="34"/>
      <c r="Z636" s="34"/>
      <c r="AA636" s="34"/>
      <c r="AB636" s="34"/>
      <c r="AC636" s="34"/>
    </row>
    <row r="637" spans="1:29" s="7" customFormat="1" x14ac:dyDescent="0.25">
      <c r="B637" s="111" t="s">
        <v>62</v>
      </c>
      <c r="C637" s="111"/>
      <c r="D637" s="111"/>
      <c r="E637" s="111" t="s">
        <v>63</v>
      </c>
      <c r="F637" s="111"/>
      <c r="G637" s="111"/>
      <c r="H637" s="111" t="s">
        <v>64</v>
      </c>
      <c r="I637" s="111"/>
      <c r="J637" s="111"/>
      <c r="K637" s="111" t="s">
        <v>65</v>
      </c>
      <c r="L637" s="111"/>
      <c r="M637" s="111" t="s">
        <v>60</v>
      </c>
      <c r="N637" s="111"/>
      <c r="O637" s="111"/>
      <c r="P637" s="111" t="s">
        <v>61</v>
      </c>
      <c r="Q637" s="111"/>
      <c r="U637" s="34"/>
      <c r="V637" s="34"/>
      <c r="W637" s="34"/>
      <c r="X637" s="34"/>
      <c r="Y637" s="34"/>
      <c r="Z637" s="34"/>
      <c r="AA637" s="34"/>
      <c r="AB637" s="34"/>
      <c r="AC637" s="34"/>
    </row>
    <row r="638" spans="1:29" s="1" customFormat="1" x14ac:dyDescent="0.25">
      <c r="B638" s="210">
        <f>LOOKUP(F612, {1,2,3,4,5,6,7,8,9,10,11,12,13,14,15,16,17,18,19,20,21,22,23,24,25,26,27,28,29,30,31,32,33,34,35,36,37,38,39,40}, {3,6,10,13,16,20,23,26,30,33,38,43,50,58,66,76,86,100,116,133,153,173,200,233,266,306,346,400,466,532,612,692,800,932,1064,1224,1384,1600,1864,2128})</f>
        <v>133</v>
      </c>
      <c r="C638" s="210"/>
      <c r="D638" s="210"/>
      <c r="E638" s="210">
        <f>LOOKUP(F612, {1,2,3,4,5,6,7,8,9,10,11,12,13,14,15,16,17,18,19,20,21,22,23,24,25,26,27,28,29,30,31,32,33,34,35,36,37,38,39,40}, {6,13,20,26,33,40,46,53,60,66,76,86,100,116,133,153,173,200,233,266,306,346,400,466,533,613,693,800,933,1064,1224,1384,1600,1864,2132,2452,2772,3200,3732,4256})</f>
        <v>266</v>
      </c>
      <c r="F638" s="210"/>
      <c r="G638" s="210"/>
      <c r="H638" s="210">
        <f>LOOKUP(F612, {1,2,3,4,5,6,7,8,9,10,11,12,13,14,15,16,17,18,19,20,21,22,23,24,25,26,27,28,29,30,31,32,33,34,35,36,37,38,39,40}, {10,20,30,40,50,60,70,80,90,100,115,130,150,175,200,230,260,300,350,400,460,520,600,700,800,920,1040,1200,1400,1600,1840,2080,2400,2800,3200,3680,4160,4800,5600,6400})</f>
        <v>400</v>
      </c>
      <c r="I638" s="210"/>
      <c r="J638" s="210"/>
      <c r="K638" s="210">
        <v>0</v>
      </c>
      <c r="L638" s="210"/>
      <c r="M638" s="211">
        <v>30</v>
      </c>
      <c r="N638" s="211"/>
      <c r="O638" s="211"/>
      <c r="P638" s="210">
        <f>IF(M638&gt;=30,M638-(IF(B638&gt;=K638,0,10)),M638-(IF(B638&gt;=K638,0,5)))</f>
        <v>30</v>
      </c>
      <c r="Q638" s="210"/>
      <c r="R638" s="17">
        <f>IF(AND(K638&gt;B638,K638&lt;=E638),-3,IF(AND(K638&gt;E638,K638&lt;=H638),-6,0))</f>
        <v>0</v>
      </c>
      <c r="U638" s="34"/>
      <c r="V638" s="34"/>
      <c r="W638" s="34"/>
      <c r="X638" s="34"/>
      <c r="Y638" s="34"/>
      <c r="Z638" s="34"/>
      <c r="AA638" s="34"/>
      <c r="AB638" s="34"/>
      <c r="AC638" s="34"/>
    </row>
    <row r="639" spans="1:29" s="1" customFormat="1" x14ac:dyDescent="0.25">
      <c r="B639" s="7"/>
      <c r="C639" s="7"/>
      <c r="D639" s="7"/>
      <c r="E639" s="7"/>
      <c r="F639" s="7"/>
      <c r="G639" s="7"/>
      <c r="H639" s="7"/>
      <c r="I639" s="7"/>
      <c r="J639" s="7"/>
      <c r="K639" s="7"/>
      <c r="L639" s="7"/>
      <c r="M639" s="7"/>
      <c r="N639" s="7"/>
      <c r="O639" s="7"/>
      <c r="P639" s="7"/>
      <c r="Q639" s="7"/>
      <c r="R639" s="7"/>
      <c r="S639" s="7"/>
      <c r="T639" s="7"/>
      <c r="U639" s="34"/>
      <c r="V639" s="34"/>
      <c r="W639" s="34"/>
      <c r="X639" s="34"/>
      <c r="Y639" s="34"/>
      <c r="Z639" s="34"/>
      <c r="AA639" s="34"/>
      <c r="AB639" s="34"/>
      <c r="AC639" s="34"/>
    </row>
    <row r="640" spans="1:29" s="1" customFormat="1" x14ac:dyDescent="0.25">
      <c r="B640" s="7" t="s">
        <v>973</v>
      </c>
      <c r="C640" s="7"/>
      <c r="D640" s="7"/>
      <c r="E640" s="7"/>
      <c r="F640" s="7"/>
      <c r="G640" s="7"/>
      <c r="H640" s="7"/>
      <c r="I640" s="7"/>
      <c r="J640" s="7"/>
      <c r="K640" s="7"/>
      <c r="L640" s="7"/>
      <c r="M640" s="7"/>
      <c r="N640" s="7"/>
      <c r="O640" s="7"/>
      <c r="P640" s="7"/>
      <c r="Q640" s="7"/>
      <c r="R640" s="7"/>
      <c r="S640" s="7"/>
      <c r="T640" s="7"/>
      <c r="U640" s="34"/>
      <c r="V640" s="34"/>
      <c r="W640" s="34"/>
      <c r="X640" s="34"/>
      <c r="Y640" s="34"/>
      <c r="Z640" s="34"/>
      <c r="AA640" s="34"/>
      <c r="AB640" s="34"/>
      <c r="AC640" s="34"/>
    </row>
    <row r="641" spans="2:29" s="7" customFormat="1" x14ac:dyDescent="0.25">
      <c r="B641" s="111" t="s">
        <v>62</v>
      </c>
      <c r="C641" s="111"/>
      <c r="D641" s="111"/>
      <c r="E641" s="111" t="s">
        <v>63</v>
      </c>
      <c r="F641" s="111"/>
      <c r="G641" s="111"/>
      <c r="H641" s="111" t="s">
        <v>64</v>
      </c>
      <c r="I641" s="111"/>
      <c r="J641" s="111"/>
      <c r="K641" s="111" t="s">
        <v>65</v>
      </c>
      <c r="L641" s="111"/>
      <c r="M641" s="111" t="s">
        <v>60</v>
      </c>
      <c r="N641" s="111"/>
      <c r="O641" s="111"/>
      <c r="P641" s="111" t="s">
        <v>61</v>
      </c>
      <c r="Q641" s="111"/>
      <c r="U641" s="34"/>
      <c r="V641" s="34"/>
      <c r="W641" s="34"/>
      <c r="X641" s="34"/>
      <c r="Y641" s="34"/>
      <c r="Z641" s="34"/>
      <c r="AA641" s="34"/>
      <c r="AB641" s="34"/>
      <c r="AC641" s="34"/>
    </row>
    <row r="642" spans="2:29" s="1" customFormat="1" x14ac:dyDescent="0.25">
      <c r="B642" s="210">
        <f>LOOKUP(F612, {1,2,3,4,5,6,7,8,9,10,11,12,13,14,15,16,17,18,19,20,21,22,23,24,25,26,27,28,29,30,31,32,33,34,35,36,37,38,39,40}, {3,6,10,13,16,20,23,26,30,33,38,43,50,58,66,76,86,100,116,133,153,173,200,233,266,306,346,400,466,532,612,692,800,932,1064,1224,1384,1600,1864,2128})</f>
        <v>133</v>
      </c>
      <c r="C642" s="210"/>
      <c r="D642" s="210"/>
      <c r="E642" s="210">
        <f>LOOKUP(F612, {1,2,3,4,5,6,7,8,9,10,11,12,13,14,15,16,17,18,19,20,21,22,23,24,25,26,27,28,29,30,31,32,33,34,35,36,37,38,39,40}, {6,13,20,26,33,40,46,53,60,66,76,86,100,116,133,153,173,200,233,266,306,346,400,466,533,613,693,800,933,1064,1224,1384,1600,1864,2132,2452,2772,3200,3732,4256})</f>
        <v>266</v>
      </c>
      <c r="F642" s="210"/>
      <c r="G642" s="210"/>
      <c r="H642" s="210">
        <f>LOOKUP(F612, {1,2,3,4,5,6,7,8,9,10,11,12,13,14,15,16,17,18,19,20,21,22,23,24,25,26,27,28,29,30,31,32,33,34,35,36,37,38,39,40}, {10,20,30,40,50,60,70,80,90,100,115,130,150,175,200,230,260,300,350,400,460,520,600,700,800,920,1040,1200,1400,1600,1840,2080,2400,2800,3200,3680,4160,4800,5600,6400})</f>
        <v>400</v>
      </c>
      <c r="I642" s="210"/>
      <c r="J642" s="210"/>
      <c r="K642" s="210">
        <v>0</v>
      </c>
      <c r="L642" s="210"/>
      <c r="M642" s="211">
        <v>0</v>
      </c>
      <c r="N642" s="211"/>
      <c r="O642" s="211"/>
      <c r="P642" s="210">
        <f>IF(M642&gt;=30,M642-(IF(B642&gt;=K642,0,10)),M642-(IF(B642&gt;=K642,0,5)))</f>
        <v>0</v>
      </c>
      <c r="Q642" s="210"/>
      <c r="R642" s="17">
        <f>IF(AND(K642&gt;B642,K642&lt;=E642),-3,IF(AND(K642&gt;E642,K642&lt;=H642),-6,0))</f>
        <v>0</v>
      </c>
      <c r="U642" s="34"/>
      <c r="V642" s="34"/>
      <c r="W642" s="34"/>
      <c r="X642" s="34"/>
      <c r="Y642" s="34"/>
      <c r="Z642" s="34"/>
      <c r="AA642" s="34"/>
      <c r="AB642" s="34"/>
      <c r="AC642" s="34"/>
    </row>
    <row r="643" spans="2:29" s="1" customFormat="1" x14ac:dyDescent="0.25">
      <c r="B643" s="7"/>
      <c r="C643" s="7"/>
      <c r="D643" s="7"/>
      <c r="E643" s="7"/>
      <c r="F643" s="7"/>
      <c r="G643" s="7"/>
      <c r="H643" s="7"/>
      <c r="I643" s="7"/>
      <c r="J643" s="7"/>
      <c r="K643" s="7"/>
      <c r="L643" s="7"/>
      <c r="M643" s="7"/>
      <c r="N643" s="7"/>
      <c r="O643" s="7"/>
      <c r="P643" s="7"/>
      <c r="Q643" s="7"/>
      <c r="R643" s="7"/>
      <c r="S643" s="7"/>
      <c r="T643" s="7"/>
      <c r="U643" s="34"/>
      <c r="V643" s="34"/>
      <c r="W643" s="34"/>
      <c r="X643" s="34"/>
      <c r="Y643" s="34"/>
      <c r="Z643" s="34"/>
      <c r="AA643" s="34"/>
      <c r="AB643" s="34"/>
      <c r="AC643" s="34"/>
    </row>
    <row r="644" spans="2:29" s="7" customFormat="1" x14ac:dyDescent="0.25">
      <c r="B644" s="7" t="s">
        <v>92</v>
      </c>
      <c r="U644" s="34"/>
      <c r="V644" s="34"/>
      <c r="W644" s="34"/>
      <c r="X644" s="34"/>
      <c r="Y644" s="34"/>
      <c r="Z644" s="34"/>
      <c r="AA644" s="34"/>
      <c r="AB644" s="34"/>
      <c r="AC644" s="34"/>
    </row>
    <row r="645" spans="2:29" s="7" customFormat="1" ht="15" customHeight="1" x14ac:dyDescent="0.25">
      <c r="B645" s="139" t="s">
        <v>22</v>
      </c>
      <c r="C645" s="140"/>
      <c r="D645" s="140"/>
      <c r="E645" s="141"/>
      <c r="F645" s="139" t="s">
        <v>93</v>
      </c>
      <c r="G645" s="140"/>
      <c r="H645" s="140"/>
      <c r="I645" s="140"/>
      <c r="J645" s="140"/>
      <c r="K645" s="140"/>
      <c r="L645" s="140"/>
      <c r="M645" s="140"/>
      <c r="N645" s="140"/>
      <c r="O645" s="140"/>
      <c r="P645" s="141"/>
      <c r="Q645" s="139" t="s">
        <v>42</v>
      </c>
      <c r="R645" s="140"/>
      <c r="S645" s="141"/>
      <c r="U645" s="34"/>
      <c r="V645" s="34"/>
      <c r="W645" s="34"/>
      <c r="X645" s="34"/>
      <c r="Y645" s="34"/>
      <c r="Z645" s="34"/>
      <c r="AA645" s="34"/>
      <c r="AB645" s="34"/>
      <c r="AC645" s="34"/>
    </row>
    <row r="646" spans="2:29" s="7" customFormat="1" x14ac:dyDescent="0.25">
      <c r="B646" s="128"/>
      <c r="C646" s="130"/>
      <c r="D646" s="130"/>
      <c r="E646" s="129"/>
      <c r="F646" s="212"/>
      <c r="G646" s="130"/>
      <c r="H646" s="130"/>
      <c r="I646" s="130"/>
      <c r="J646" s="130"/>
      <c r="K646" s="130"/>
      <c r="L646" s="130"/>
      <c r="M646" s="130"/>
      <c r="N646" s="130"/>
      <c r="O646" s="130"/>
      <c r="P646" s="129"/>
      <c r="Q646" s="128"/>
      <c r="R646" s="130"/>
      <c r="S646" s="129"/>
      <c r="U646" s="34"/>
      <c r="V646" s="34"/>
      <c r="W646" s="34"/>
      <c r="X646" s="34"/>
      <c r="Y646" s="34"/>
      <c r="Z646" s="34"/>
      <c r="AA646" s="34"/>
      <c r="AB646" s="34"/>
      <c r="AC646" s="34"/>
    </row>
    <row r="647" spans="2:29" s="1" customFormat="1" x14ac:dyDescent="0.25">
      <c r="B647" s="7"/>
      <c r="C647" s="7"/>
      <c r="D647" s="7"/>
      <c r="E647" s="7"/>
      <c r="F647" s="7"/>
      <c r="G647" s="7"/>
      <c r="H647" s="7"/>
      <c r="I647" s="7"/>
      <c r="J647" s="7"/>
      <c r="K647" s="7"/>
      <c r="L647" s="7"/>
      <c r="M647" s="7"/>
      <c r="N647" s="7"/>
      <c r="O647" s="7"/>
      <c r="P647" s="7"/>
      <c r="Q647" s="7"/>
      <c r="R647" s="7"/>
      <c r="S647" s="7"/>
      <c r="T647" s="7"/>
      <c r="U647" s="34"/>
      <c r="V647" s="34"/>
      <c r="W647" s="34"/>
      <c r="X647" s="34"/>
      <c r="Y647" s="34"/>
      <c r="Z647" s="34"/>
      <c r="AA647" s="34"/>
      <c r="AB647" s="34"/>
      <c r="AC647" s="34"/>
    </row>
    <row r="648" spans="2:29" s="7" customFormat="1" ht="15" customHeight="1" x14ac:dyDescent="0.25">
      <c r="B648" s="7" t="s">
        <v>926</v>
      </c>
      <c r="U648" s="34"/>
      <c r="V648" s="34"/>
      <c r="W648" s="34"/>
      <c r="X648" s="34"/>
      <c r="Y648" s="34"/>
      <c r="Z648" s="34"/>
      <c r="AA648" s="34"/>
      <c r="AB648" s="34"/>
      <c r="AC648" s="34"/>
    </row>
    <row r="649" spans="2:29" s="7" customFormat="1" ht="15" customHeight="1" x14ac:dyDescent="0.25">
      <c r="B649" s="139" t="s">
        <v>22</v>
      </c>
      <c r="C649" s="140"/>
      <c r="D649" s="140"/>
      <c r="E649" s="141"/>
      <c r="F649" s="139" t="s">
        <v>93</v>
      </c>
      <c r="G649" s="140"/>
      <c r="H649" s="140"/>
      <c r="I649" s="140"/>
      <c r="J649" s="140"/>
      <c r="K649" s="140"/>
      <c r="L649" s="140"/>
      <c r="M649" s="140"/>
      <c r="N649" s="140"/>
      <c r="O649" s="140"/>
      <c r="P649" s="141"/>
      <c r="Q649" s="139" t="s">
        <v>42</v>
      </c>
      <c r="R649" s="140"/>
      <c r="S649" s="141"/>
      <c r="U649" s="34"/>
      <c r="V649" s="34"/>
      <c r="W649" s="34"/>
      <c r="X649" s="34"/>
      <c r="Y649" s="34"/>
      <c r="Z649" s="34"/>
      <c r="AA649" s="34"/>
      <c r="AB649" s="34"/>
      <c r="AC649" s="34"/>
    </row>
    <row r="650" spans="2:29" s="7" customFormat="1" x14ac:dyDescent="0.25">
      <c r="B650" s="128"/>
      <c r="C650" s="130"/>
      <c r="D650" s="130"/>
      <c r="E650" s="129"/>
      <c r="F650" s="212"/>
      <c r="G650" s="130"/>
      <c r="H650" s="130"/>
      <c r="I650" s="130"/>
      <c r="J650" s="130"/>
      <c r="K650" s="130"/>
      <c r="L650" s="130"/>
      <c r="M650" s="130"/>
      <c r="N650" s="130"/>
      <c r="O650" s="130"/>
      <c r="P650" s="129"/>
      <c r="Q650" s="128"/>
      <c r="R650" s="130"/>
      <c r="S650" s="129"/>
      <c r="U650" s="34"/>
      <c r="V650" s="34"/>
      <c r="W650" s="34"/>
      <c r="X650" s="34"/>
      <c r="Y650" s="34"/>
      <c r="Z650" s="34"/>
      <c r="AA650" s="34"/>
      <c r="AB650" s="34"/>
      <c r="AC650" s="34"/>
    </row>
    <row r="651" spans="2:29" s="1" customFormat="1" x14ac:dyDescent="0.25">
      <c r="B651" s="7"/>
      <c r="C651" s="7"/>
      <c r="D651" s="7"/>
      <c r="E651" s="7"/>
      <c r="F651" s="7"/>
      <c r="G651" s="7"/>
      <c r="H651" s="7"/>
      <c r="I651" s="7"/>
      <c r="J651" s="7"/>
      <c r="K651" s="7"/>
      <c r="L651" s="7"/>
      <c r="M651" s="7"/>
      <c r="N651" s="7"/>
      <c r="O651" s="7"/>
      <c r="P651" s="7"/>
      <c r="Q651" s="7"/>
      <c r="R651" s="7"/>
      <c r="S651" s="7"/>
      <c r="T651" s="7"/>
      <c r="U651" s="34"/>
      <c r="V651" s="34"/>
      <c r="W651" s="34"/>
      <c r="X651" s="34"/>
      <c r="Y651" s="34"/>
      <c r="Z651" s="34"/>
      <c r="AA651" s="34"/>
      <c r="AB651" s="34"/>
      <c r="AC651" s="34"/>
    </row>
    <row r="652" spans="2:29" s="7" customFormat="1" ht="15" customHeight="1" x14ac:dyDescent="0.25">
      <c r="B652" s="7" t="s">
        <v>930</v>
      </c>
      <c r="U652" s="34"/>
      <c r="V652" s="34"/>
      <c r="W652" s="34"/>
      <c r="X652" s="34"/>
      <c r="Y652" s="34"/>
      <c r="Z652" s="34"/>
      <c r="AA652" s="34"/>
      <c r="AB652" s="34"/>
      <c r="AC652" s="34"/>
    </row>
    <row r="653" spans="2:29" s="7" customFormat="1" ht="15" customHeight="1" x14ac:dyDescent="0.25">
      <c r="B653" s="139" t="s">
        <v>22</v>
      </c>
      <c r="C653" s="140"/>
      <c r="D653" s="140"/>
      <c r="E653" s="141"/>
      <c r="F653" s="139" t="s">
        <v>93</v>
      </c>
      <c r="G653" s="140"/>
      <c r="H653" s="140"/>
      <c r="I653" s="140"/>
      <c r="J653" s="140"/>
      <c r="K653" s="140"/>
      <c r="L653" s="140"/>
      <c r="M653" s="140"/>
      <c r="N653" s="140"/>
      <c r="O653" s="140"/>
      <c r="P653" s="141"/>
      <c r="Q653" s="139" t="s">
        <v>42</v>
      </c>
      <c r="R653" s="140"/>
      <c r="S653" s="141"/>
      <c r="U653" s="34"/>
      <c r="V653" s="34"/>
      <c r="W653" s="34"/>
      <c r="X653" s="34"/>
      <c r="Y653" s="34"/>
      <c r="Z653" s="34"/>
      <c r="AA653" s="34"/>
      <c r="AB653" s="34"/>
      <c r="AC653" s="34"/>
    </row>
    <row r="654" spans="2:29" s="7" customFormat="1" x14ac:dyDescent="0.25">
      <c r="B654" s="128"/>
      <c r="C654" s="130"/>
      <c r="D654" s="130"/>
      <c r="E654" s="129"/>
      <c r="F654" s="212"/>
      <c r="G654" s="130"/>
      <c r="H654" s="130"/>
      <c r="I654" s="130"/>
      <c r="J654" s="130"/>
      <c r="K654" s="130"/>
      <c r="L654" s="130"/>
      <c r="M654" s="130"/>
      <c r="N654" s="130"/>
      <c r="O654" s="130"/>
      <c r="P654" s="129"/>
      <c r="Q654" s="128"/>
      <c r="R654" s="130"/>
      <c r="S654" s="129"/>
      <c r="U654" s="34"/>
      <c r="V654" s="34"/>
      <c r="W654" s="34"/>
      <c r="X654" s="34"/>
      <c r="Y654" s="34"/>
      <c r="Z654" s="34"/>
      <c r="AA654" s="34"/>
      <c r="AB654" s="34"/>
      <c r="AC654" s="34"/>
    </row>
    <row r="655" spans="2:29" s="217" customFormat="1" x14ac:dyDescent="0.25">
      <c r="U655" s="219"/>
      <c r="V655" s="219"/>
      <c r="W655" s="219"/>
      <c r="X655" s="219"/>
      <c r="Y655" s="219"/>
      <c r="Z655" s="219"/>
      <c r="AA655" s="219"/>
      <c r="AB655" s="219"/>
      <c r="AC655" s="219"/>
    </row>
    <row r="656" spans="2:29" s="217" customFormat="1" x14ac:dyDescent="0.25">
      <c r="U656" s="219"/>
      <c r="V656" s="219"/>
      <c r="W656" s="219"/>
      <c r="X656" s="219"/>
      <c r="Y656" s="219"/>
      <c r="Z656" s="219"/>
      <c r="AA656" s="219"/>
      <c r="AB656" s="219"/>
      <c r="AC656" s="219"/>
    </row>
    <row r="657" s="217" customFormat="1" x14ac:dyDescent="0.25"/>
    <row r="658" s="217" customFormat="1" x14ac:dyDescent="0.25"/>
    <row r="659" s="217" customFormat="1" x14ac:dyDescent="0.25"/>
    <row r="660" s="217" customFormat="1" x14ac:dyDescent="0.25"/>
    <row r="661" s="217" customFormat="1" x14ac:dyDescent="0.25"/>
    <row r="662" s="217" customFormat="1" x14ac:dyDescent="0.25"/>
    <row r="663" s="217" customFormat="1" x14ac:dyDescent="0.25"/>
    <row r="664" s="217" customFormat="1" x14ac:dyDescent="0.25"/>
    <row r="665" s="217" customFormat="1" x14ac:dyDescent="0.25"/>
    <row r="666" s="217" customFormat="1" x14ac:dyDescent="0.25"/>
    <row r="667" s="217" customFormat="1" x14ac:dyDescent="0.25"/>
    <row r="668" s="217" customFormat="1" x14ac:dyDescent="0.25"/>
    <row r="669" s="217" customFormat="1" x14ac:dyDescent="0.25"/>
    <row r="670" s="217" customFormat="1" x14ac:dyDescent="0.25"/>
    <row r="671" s="217" customFormat="1" x14ac:dyDescent="0.25"/>
    <row r="672" s="217" customFormat="1" x14ac:dyDescent="0.25"/>
    <row r="673" s="217" customFormat="1" x14ac:dyDescent="0.25"/>
    <row r="674" s="217" customFormat="1" x14ac:dyDescent="0.25"/>
    <row r="675" s="217" customFormat="1" x14ac:dyDescent="0.25"/>
    <row r="676" s="217" customFormat="1" x14ac:dyDescent="0.25"/>
    <row r="677" s="217" customFormat="1" x14ac:dyDescent="0.25"/>
    <row r="678" s="217" customFormat="1" x14ac:dyDescent="0.25"/>
    <row r="679" s="217" customFormat="1" x14ac:dyDescent="0.25"/>
    <row r="680" s="217" customFormat="1" x14ac:dyDescent="0.25"/>
    <row r="681" s="217" customFormat="1" x14ac:dyDescent="0.25"/>
    <row r="682" s="217" customFormat="1" x14ac:dyDescent="0.25"/>
    <row r="683" s="217" customFormat="1" x14ac:dyDescent="0.25"/>
    <row r="684" s="217" customFormat="1" x14ac:dyDescent="0.25"/>
    <row r="685" s="217" customFormat="1" x14ac:dyDescent="0.25"/>
    <row r="686" s="217" customFormat="1" x14ac:dyDescent="0.25"/>
    <row r="687" s="217" customFormat="1" x14ac:dyDescent="0.25"/>
    <row r="688" s="217" customFormat="1" x14ac:dyDescent="0.25"/>
    <row r="689" s="217" customFormat="1" x14ac:dyDescent="0.25"/>
    <row r="690" s="217" customFormat="1" x14ac:dyDescent="0.25"/>
    <row r="691" s="217" customFormat="1" x14ac:dyDescent="0.25"/>
    <row r="692" s="217" customFormat="1" x14ac:dyDescent="0.25"/>
    <row r="693" s="217" customFormat="1" x14ac:dyDescent="0.25"/>
    <row r="694" s="217" customFormat="1" x14ac:dyDescent="0.25"/>
    <row r="695" s="217" customFormat="1" x14ac:dyDescent="0.25"/>
    <row r="696" s="217" customFormat="1" x14ac:dyDescent="0.25"/>
    <row r="697" s="217" customFormat="1" x14ac:dyDescent="0.25"/>
    <row r="698" s="217" customFormat="1" x14ac:dyDescent="0.25"/>
    <row r="699" s="217" customFormat="1" x14ac:dyDescent="0.25"/>
    <row r="700" s="217" customFormat="1" x14ac:dyDescent="0.25"/>
    <row r="701" s="217" customFormat="1" x14ac:dyDescent="0.25"/>
    <row r="702" s="217" customFormat="1" x14ac:dyDescent="0.25"/>
    <row r="703" s="217" customFormat="1" x14ac:dyDescent="0.25"/>
    <row r="704" s="217" customFormat="1" x14ac:dyDescent="0.25"/>
    <row r="705" s="217" customFormat="1" x14ac:dyDescent="0.25"/>
    <row r="706" s="217" customFormat="1" x14ac:dyDescent="0.25"/>
    <row r="707" s="217" customFormat="1" x14ac:dyDescent="0.25"/>
    <row r="708" s="217" customFormat="1" x14ac:dyDescent="0.25"/>
    <row r="709" s="217" customFormat="1" x14ac:dyDescent="0.25"/>
    <row r="710" s="217" customFormat="1" x14ac:dyDescent="0.25"/>
    <row r="711" s="217" customFormat="1" x14ac:dyDescent="0.25"/>
    <row r="712" s="217" customFormat="1" x14ac:dyDescent="0.25"/>
    <row r="713" s="217" customFormat="1" x14ac:dyDescent="0.25"/>
    <row r="714" s="217" customFormat="1" x14ac:dyDescent="0.25"/>
    <row r="715" s="217" customFormat="1" x14ac:dyDescent="0.25"/>
    <row r="716" s="217" customFormat="1" x14ac:dyDescent="0.25"/>
    <row r="717" s="217" customFormat="1" x14ac:dyDescent="0.25"/>
    <row r="718" s="217" customFormat="1" x14ac:dyDescent="0.25"/>
    <row r="719" s="217" customFormat="1" x14ac:dyDescent="0.25"/>
    <row r="720" s="217" customFormat="1" x14ac:dyDescent="0.25"/>
    <row r="721" s="217" customFormat="1" x14ac:dyDescent="0.25"/>
    <row r="722" s="217" customFormat="1" x14ac:dyDescent="0.25"/>
    <row r="723" s="217" customFormat="1" x14ac:dyDescent="0.25"/>
    <row r="724" s="217" customFormat="1" x14ac:dyDescent="0.25"/>
    <row r="725" s="217" customFormat="1" x14ac:dyDescent="0.25"/>
    <row r="726" s="217" customFormat="1" x14ac:dyDescent="0.25"/>
    <row r="727" s="217" customFormat="1" x14ac:dyDescent="0.25"/>
    <row r="728" s="217" customFormat="1" x14ac:dyDescent="0.25"/>
    <row r="729" s="217" customFormat="1" x14ac:dyDescent="0.25"/>
    <row r="730" s="217" customFormat="1" x14ac:dyDescent="0.25"/>
    <row r="731" s="217" customFormat="1" x14ac:dyDescent="0.25"/>
    <row r="732" s="217" customFormat="1" x14ac:dyDescent="0.25"/>
    <row r="733" s="217" customFormat="1" x14ac:dyDescent="0.25"/>
    <row r="734" s="217" customFormat="1" x14ac:dyDescent="0.25"/>
    <row r="735" s="217" customFormat="1" x14ac:dyDescent="0.25"/>
    <row r="736" s="217" customFormat="1" x14ac:dyDescent="0.25"/>
    <row r="737" s="217" customFormat="1" x14ac:dyDescent="0.25"/>
    <row r="738" s="217" customFormat="1" x14ac:dyDescent="0.25"/>
    <row r="739" s="217" customFormat="1" x14ac:dyDescent="0.25"/>
    <row r="740" s="217" customFormat="1" x14ac:dyDescent="0.25"/>
    <row r="741" s="217" customFormat="1" x14ac:dyDescent="0.25"/>
    <row r="742" s="217" customFormat="1" x14ac:dyDescent="0.25"/>
    <row r="743" s="217" customFormat="1" x14ac:dyDescent="0.25"/>
    <row r="744" s="217" customFormat="1" x14ac:dyDescent="0.25"/>
    <row r="745" s="217" customFormat="1" x14ac:dyDescent="0.25"/>
    <row r="746" s="217" customFormat="1" x14ac:dyDescent="0.25"/>
    <row r="747" s="217" customFormat="1" x14ac:dyDescent="0.25"/>
    <row r="748" s="217" customFormat="1" x14ac:dyDescent="0.25"/>
    <row r="749" s="217" customFormat="1" x14ac:dyDescent="0.25"/>
    <row r="750" s="217" customFormat="1" x14ac:dyDescent="0.25"/>
    <row r="751" s="217" customFormat="1" x14ac:dyDescent="0.25"/>
    <row r="752" s="217" customFormat="1" x14ac:dyDescent="0.25"/>
    <row r="753" s="217" customFormat="1" x14ac:dyDescent="0.25"/>
    <row r="754" s="217" customFormat="1" x14ac:dyDescent="0.25"/>
    <row r="755" s="217" customFormat="1" x14ac:dyDescent="0.25"/>
    <row r="756" s="217" customFormat="1" x14ac:dyDescent="0.25"/>
    <row r="757" s="217" customFormat="1" x14ac:dyDescent="0.25"/>
    <row r="758" s="217" customFormat="1" x14ac:dyDescent="0.25"/>
    <row r="759" s="217" customFormat="1" x14ac:dyDescent="0.25"/>
    <row r="760" s="217" customFormat="1" x14ac:dyDescent="0.25"/>
    <row r="761" s="217" customFormat="1" x14ac:dyDescent="0.25"/>
    <row r="762" s="217" customFormat="1" x14ac:dyDescent="0.25"/>
    <row r="763" s="217" customFormat="1" x14ac:dyDescent="0.25"/>
    <row r="764" s="217" customFormat="1" x14ac:dyDescent="0.25"/>
    <row r="765" s="217" customFormat="1" x14ac:dyDescent="0.25"/>
    <row r="766" s="217" customFormat="1" x14ac:dyDescent="0.25"/>
    <row r="767" s="217" customFormat="1" x14ac:dyDescent="0.25"/>
    <row r="768" s="217" customFormat="1" x14ac:dyDescent="0.25"/>
    <row r="769" s="217" customFormat="1" x14ac:dyDescent="0.25"/>
    <row r="770" s="217" customFormat="1" x14ac:dyDescent="0.25"/>
    <row r="771" s="217" customFormat="1" x14ac:dyDescent="0.25"/>
    <row r="772" s="217" customFormat="1" x14ac:dyDescent="0.25"/>
    <row r="773" s="217" customFormat="1" x14ac:dyDescent="0.25"/>
    <row r="774" s="217" customFormat="1" x14ac:dyDescent="0.25"/>
    <row r="775" s="217" customFormat="1" x14ac:dyDescent="0.25"/>
    <row r="776" s="217" customFormat="1" x14ac:dyDescent="0.25"/>
    <row r="777" s="217" customFormat="1" x14ac:dyDescent="0.25"/>
    <row r="778" s="217" customFormat="1" x14ac:dyDescent="0.25"/>
    <row r="779" s="217" customFormat="1" x14ac:dyDescent="0.25"/>
    <row r="780" s="217" customFormat="1" x14ac:dyDescent="0.25"/>
    <row r="781" s="217" customFormat="1" x14ac:dyDescent="0.25"/>
    <row r="782" s="217" customFormat="1" x14ac:dyDescent="0.25"/>
    <row r="783" s="217" customFormat="1" x14ac:dyDescent="0.25"/>
    <row r="784" s="217" customFormat="1" x14ac:dyDescent="0.25"/>
    <row r="785" s="217" customFormat="1" x14ac:dyDescent="0.25"/>
    <row r="786" s="217" customFormat="1" x14ac:dyDescent="0.25"/>
    <row r="787" s="217" customFormat="1" x14ac:dyDescent="0.25"/>
    <row r="788" s="217" customFormat="1" x14ac:dyDescent="0.25"/>
    <row r="789" s="217" customFormat="1" x14ac:dyDescent="0.25"/>
    <row r="790" s="217" customFormat="1" x14ac:dyDescent="0.25"/>
    <row r="791" s="217" customFormat="1" x14ac:dyDescent="0.25"/>
    <row r="792" s="217" customFormat="1" x14ac:dyDescent="0.25"/>
    <row r="793" s="217" customFormat="1" x14ac:dyDescent="0.25"/>
    <row r="794" s="217" customFormat="1" x14ac:dyDescent="0.25"/>
    <row r="795" s="217" customFormat="1" x14ac:dyDescent="0.25"/>
    <row r="796" s="217" customFormat="1" x14ac:dyDescent="0.25"/>
    <row r="797" s="217" customFormat="1" x14ac:dyDescent="0.25"/>
    <row r="798" s="217" customFormat="1" x14ac:dyDescent="0.25"/>
    <row r="799" s="217" customFormat="1" x14ac:dyDescent="0.25"/>
    <row r="800" s="217" customFormat="1" x14ac:dyDescent="0.25"/>
    <row r="801" s="217" customFormat="1" x14ac:dyDescent="0.25"/>
    <row r="802" s="217" customFormat="1" x14ac:dyDescent="0.25"/>
    <row r="803" s="217" customFormat="1" x14ac:dyDescent="0.25"/>
    <row r="804" s="217" customFormat="1" x14ac:dyDescent="0.25"/>
    <row r="805" s="217" customFormat="1" x14ac:dyDescent="0.25"/>
    <row r="806" s="217" customFormat="1" x14ac:dyDescent="0.25"/>
    <row r="807" s="217" customFormat="1" x14ac:dyDescent="0.25"/>
    <row r="808" s="217" customFormat="1" x14ac:dyDescent="0.25"/>
    <row r="809" s="217" customFormat="1" x14ac:dyDescent="0.25"/>
    <row r="810" s="217" customFormat="1" x14ac:dyDescent="0.25"/>
    <row r="811" s="217" customFormat="1" x14ac:dyDescent="0.25"/>
    <row r="812" s="217" customFormat="1" x14ac:dyDescent="0.25"/>
    <row r="813" s="217" customFormat="1" x14ac:dyDescent="0.25"/>
    <row r="814" s="217" customFormat="1" x14ac:dyDescent="0.25"/>
    <row r="815" s="217" customFormat="1" x14ac:dyDescent="0.25"/>
    <row r="816" s="217" customFormat="1" x14ac:dyDescent="0.25"/>
    <row r="817" s="217" customFormat="1" x14ac:dyDescent="0.25"/>
    <row r="818" s="217" customFormat="1" x14ac:dyDescent="0.25"/>
    <row r="819" s="217" customFormat="1" x14ac:dyDescent="0.25"/>
    <row r="820" s="217" customFormat="1" x14ac:dyDescent="0.25"/>
    <row r="821" s="217" customFormat="1" x14ac:dyDescent="0.25"/>
    <row r="822" s="217" customFormat="1" x14ac:dyDescent="0.25"/>
    <row r="823" s="217" customFormat="1" x14ac:dyDescent="0.25"/>
    <row r="824" s="217" customFormat="1" x14ac:dyDescent="0.25"/>
    <row r="825" s="217" customFormat="1" x14ac:dyDescent="0.25"/>
    <row r="826" s="217" customFormat="1" x14ac:dyDescent="0.25"/>
    <row r="827" s="217" customFormat="1" x14ac:dyDescent="0.25"/>
    <row r="828" s="217" customFormat="1" x14ac:dyDescent="0.25"/>
    <row r="829" s="217" customFormat="1" x14ac:dyDescent="0.25"/>
    <row r="830" s="217" customFormat="1" x14ac:dyDescent="0.25"/>
    <row r="831" s="217" customFormat="1" x14ac:dyDescent="0.25"/>
    <row r="832" s="217" customFormat="1" x14ac:dyDescent="0.25"/>
    <row r="833" s="217" customFormat="1" x14ac:dyDescent="0.25"/>
    <row r="834" s="217" customFormat="1" x14ac:dyDescent="0.25"/>
    <row r="835" s="217" customFormat="1" x14ac:dyDescent="0.25"/>
    <row r="836" s="217" customFormat="1" x14ac:dyDescent="0.25"/>
    <row r="837" s="217" customFormat="1" x14ac:dyDescent="0.25"/>
    <row r="838" s="217" customFormat="1" x14ac:dyDescent="0.25"/>
    <row r="839" s="217" customFormat="1" x14ac:dyDescent="0.25"/>
    <row r="840" s="217" customFormat="1" x14ac:dyDescent="0.25"/>
    <row r="841" s="217" customFormat="1" x14ac:dyDescent="0.25"/>
    <row r="842" s="217" customFormat="1" x14ac:dyDescent="0.25"/>
    <row r="843" s="217" customFormat="1" x14ac:dyDescent="0.25"/>
    <row r="844" s="217" customFormat="1" x14ac:dyDescent="0.25"/>
    <row r="845" s="217" customFormat="1" x14ac:dyDescent="0.25"/>
    <row r="846" s="217" customFormat="1" x14ac:dyDescent="0.25"/>
    <row r="847" s="217" customFormat="1" x14ac:dyDescent="0.25"/>
    <row r="848" s="217" customFormat="1" x14ac:dyDescent="0.25"/>
    <row r="849" s="217" customFormat="1" x14ac:dyDescent="0.25"/>
    <row r="850" s="217" customFormat="1" x14ac:dyDescent="0.25"/>
    <row r="851" s="217" customFormat="1" x14ac:dyDescent="0.25"/>
    <row r="852" s="217" customFormat="1" x14ac:dyDescent="0.25"/>
    <row r="853" s="217" customFormat="1" x14ac:dyDescent="0.25"/>
    <row r="854" s="217" customFormat="1" x14ac:dyDescent="0.25"/>
    <row r="855" s="217" customFormat="1" x14ac:dyDescent="0.25"/>
    <row r="856" s="217" customFormat="1" x14ac:dyDescent="0.25"/>
    <row r="857" s="217" customFormat="1" x14ac:dyDescent="0.25"/>
    <row r="858" s="217" customFormat="1" x14ac:dyDescent="0.25"/>
    <row r="859" s="217" customFormat="1" x14ac:dyDescent="0.25"/>
    <row r="860" s="217" customFormat="1" x14ac:dyDescent="0.25"/>
    <row r="861" s="217" customFormat="1" x14ac:dyDescent="0.25"/>
    <row r="862" s="217" customFormat="1" x14ac:dyDescent="0.25"/>
    <row r="863" s="217" customFormat="1" x14ac:dyDescent="0.25"/>
    <row r="864" s="217" customFormat="1" x14ac:dyDescent="0.25"/>
    <row r="865" s="217" customFormat="1" x14ac:dyDescent="0.25"/>
    <row r="866" s="217" customFormat="1" x14ac:dyDescent="0.25"/>
    <row r="867" s="217" customFormat="1" x14ac:dyDescent="0.25"/>
    <row r="868" s="217" customFormat="1" x14ac:dyDescent="0.25"/>
    <row r="869" s="217" customFormat="1" x14ac:dyDescent="0.25"/>
    <row r="870" s="217" customFormat="1" x14ac:dyDescent="0.25"/>
    <row r="871" s="217" customFormat="1" x14ac:dyDescent="0.25"/>
    <row r="872" s="217" customFormat="1" x14ac:dyDescent="0.25"/>
    <row r="873" s="217" customFormat="1" x14ac:dyDescent="0.25"/>
    <row r="874" s="217" customFormat="1" x14ac:dyDescent="0.25"/>
    <row r="875" s="217" customFormat="1" x14ac:dyDescent="0.25"/>
    <row r="876" s="217" customFormat="1" x14ac:dyDescent="0.25"/>
    <row r="877" s="217" customFormat="1" x14ac:dyDescent="0.25"/>
    <row r="878" s="217" customFormat="1" x14ac:dyDescent="0.25"/>
    <row r="879" s="217" customFormat="1" x14ac:dyDescent="0.25"/>
    <row r="880" s="217" customFormat="1" x14ac:dyDescent="0.25"/>
    <row r="881" s="217" customFormat="1" x14ac:dyDescent="0.25"/>
    <row r="882" s="217" customFormat="1" x14ac:dyDescent="0.25"/>
    <row r="883" s="217" customFormat="1" x14ac:dyDescent="0.25"/>
    <row r="884" s="217" customFormat="1" x14ac:dyDescent="0.25"/>
    <row r="885" s="217" customFormat="1" x14ac:dyDescent="0.25"/>
    <row r="886" s="217" customFormat="1" x14ac:dyDescent="0.25"/>
    <row r="887" s="217" customFormat="1" x14ac:dyDescent="0.25"/>
    <row r="888" s="217" customFormat="1" x14ac:dyDescent="0.25"/>
    <row r="889" s="217" customFormat="1" x14ac:dyDescent="0.25"/>
    <row r="890" s="217" customFormat="1" x14ac:dyDescent="0.25"/>
    <row r="891" s="217" customFormat="1" x14ac:dyDescent="0.25"/>
    <row r="892" s="217" customFormat="1" x14ac:dyDescent="0.25"/>
    <row r="893" s="217" customFormat="1" x14ac:dyDescent="0.25"/>
    <row r="894" s="217" customFormat="1" x14ac:dyDescent="0.25"/>
    <row r="895" s="217" customFormat="1" x14ac:dyDescent="0.25"/>
    <row r="896" s="217" customFormat="1" x14ac:dyDescent="0.25"/>
    <row r="897" s="217" customFormat="1" x14ac:dyDescent="0.25"/>
    <row r="898" s="217" customFormat="1" x14ac:dyDescent="0.25"/>
    <row r="899" s="217" customFormat="1" x14ac:dyDescent="0.25"/>
    <row r="900" s="217" customFormat="1" x14ac:dyDescent="0.25"/>
    <row r="901" s="217" customFormat="1" x14ac:dyDescent="0.25"/>
    <row r="902" s="217" customFormat="1" x14ac:dyDescent="0.25"/>
    <row r="903" s="217" customFormat="1" x14ac:dyDescent="0.25"/>
    <row r="904" s="217" customFormat="1" x14ac:dyDescent="0.25"/>
    <row r="905" s="217" customFormat="1" x14ac:dyDescent="0.25"/>
    <row r="906" s="217" customFormat="1" x14ac:dyDescent="0.25"/>
    <row r="907" s="217" customFormat="1" x14ac:dyDescent="0.25"/>
    <row r="908" s="217" customFormat="1" x14ac:dyDescent="0.25"/>
    <row r="909" s="217" customFormat="1" x14ac:dyDescent="0.25"/>
    <row r="910" s="217" customFormat="1" x14ac:dyDescent="0.25"/>
    <row r="911" s="217" customFormat="1" x14ac:dyDescent="0.25"/>
    <row r="912" s="217" customFormat="1" x14ac:dyDescent="0.25"/>
    <row r="913" s="217" customFormat="1" x14ac:dyDescent="0.25"/>
    <row r="914" s="217" customFormat="1" x14ac:dyDescent="0.25"/>
    <row r="915" s="217" customFormat="1" x14ac:dyDescent="0.25"/>
    <row r="916" s="217" customFormat="1" x14ac:dyDescent="0.25"/>
    <row r="917" s="217" customFormat="1" x14ac:dyDescent="0.25"/>
    <row r="918" s="217" customFormat="1" x14ac:dyDescent="0.25"/>
    <row r="919" s="217" customFormat="1" x14ac:dyDescent="0.25"/>
    <row r="920" s="217" customFormat="1" x14ac:dyDescent="0.25"/>
    <row r="921" s="217" customFormat="1" x14ac:dyDescent="0.25"/>
    <row r="922" s="217" customFormat="1" x14ac:dyDescent="0.25"/>
    <row r="923" s="217" customFormat="1" x14ac:dyDescent="0.25"/>
    <row r="924" s="217" customFormat="1" x14ac:dyDescent="0.25"/>
    <row r="925" s="217" customFormat="1" x14ac:dyDescent="0.25"/>
    <row r="926" s="217" customFormat="1" x14ac:dyDescent="0.25"/>
    <row r="927" s="217" customFormat="1" x14ac:dyDescent="0.25"/>
    <row r="928" s="217" customFormat="1" x14ac:dyDescent="0.25"/>
    <row r="929" s="217" customFormat="1" x14ac:dyDescent="0.25"/>
    <row r="930" s="217" customFormat="1" x14ac:dyDescent="0.25"/>
    <row r="931" s="217" customFormat="1" x14ac:dyDescent="0.25"/>
    <row r="932" s="217" customFormat="1" x14ac:dyDescent="0.25"/>
    <row r="933" s="217" customFormat="1" x14ac:dyDescent="0.25"/>
    <row r="934" s="217" customFormat="1" x14ac:dyDescent="0.25"/>
    <row r="935" s="217" customFormat="1" x14ac:dyDescent="0.25"/>
    <row r="936" s="217" customFormat="1" x14ac:dyDescent="0.25"/>
    <row r="937" s="217" customFormat="1" x14ac:dyDescent="0.25"/>
    <row r="938" s="217" customFormat="1" x14ac:dyDescent="0.25"/>
    <row r="939" s="217" customFormat="1" x14ac:dyDescent="0.25"/>
    <row r="940" s="217" customFormat="1" x14ac:dyDescent="0.25"/>
    <row r="941" s="217" customFormat="1" x14ac:dyDescent="0.25"/>
    <row r="942" s="217" customFormat="1" x14ac:dyDescent="0.25"/>
    <row r="943" s="217" customFormat="1" x14ac:dyDescent="0.25"/>
    <row r="944" s="217" customFormat="1" x14ac:dyDescent="0.25"/>
    <row r="945" s="217" customFormat="1" x14ac:dyDescent="0.25"/>
    <row r="946" s="217" customFormat="1" x14ac:dyDescent="0.25"/>
    <row r="947" s="217" customFormat="1" x14ac:dyDescent="0.25"/>
    <row r="948" s="217" customFormat="1" x14ac:dyDescent="0.25"/>
    <row r="949" s="217" customFormat="1" x14ac:dyDescent="0.25"/>
    <row r="950" s="217" customFormat="1" x14ac:dyDescent="0.25"/>
    <row r="951" s="217" customFormat="1" x14ac:dyDescent="0.25"/>
    <row r="952" s="217" customFormat="1" x14ac:dyDescent="0.25"/>
    <row r="953" s="217" customFormat="1" x14ac:dyDescent="0.25"/>
    <row r="954" s="217" customFormat="1" x14ac:dyDescent="0.25"/>
    <row r="955" s="217" customFormat="1" x14ac:dyDescent="0.25"/>
    <row r="956" s="217" customFormat="1" x14ac:dyDescent="0.25"/>
    <row r="957" s="217" customFormat="1" x14ac:dyDescent="0.25"/>
    <row r="958" s="217" customFormat="1" x14ac:dyDescent="0.25"/>
    <row r="959" s="217" customFormat="1" x14ac:dyDescent="0.25"/>
    <row r="960" s="217" customFormat="1" x14ac:dyDescent="0.25"/>
    <row r="961" s="217" customFormat="1" x14ac:dyDescent="0.25"/>
    <row r="962" s="217" customFormat="1" x14ac:dyDescent="0.25"/>
    <row r="963" s="217" customFormat="1" x14ac:dyDescent="0.25"/>
    <row r="964" s="217" customFormat="1" x14ac:dyDescent="0.25"/>
    <row r="965" s="217" customFormat="1" x14ac:dyDescent="0.25"/>
    <row r="966" s="217" customFormat="1" x14ac:dyDescent="0.25"/>
    <row r="967" s="217" customFormat="1" x14ac:dyDescent="0.25"/>
    <row r="968" s="217" customFormat="1" x14ac:dyDescent="0.25"/>
    <row r="969" s="217" customFormat="1" x14ac:dyDescent="0.25"/>
    <row r="970" s="217" customFormat="1" x14ac:dyDescent="0.25"/>
    <row r="971" s="217" customFormat="1" x14ac:dyDescent="0.25"/>
    <row r="972" s="217" customFormat="1" x14ac:dyDescent="0.25"/>
    <row r="973" s="217" customFormat="1" x14ac:dyDescent="0.25"/>
    <row r="974" s="217" customFormat="1" x14ac:dyDescent="0.25"/>
    <row r="975" s="217" customFormat="1" x14ac:dyDescent="0.25"/>
    <row r="976" s="217" customFormat="1" x14ac:dyDescent="0.25"/>
    <row r="977" s="217" customFormat="1" x14ac:dyDescent="0.25"/>
    <row r="978" s="217" customFormat="1" x14ac:dyDescent="0.25"/>
    <row r="979" s="217" customFormat="1" x14ac:dyDescent="0.25"/>
    <row r="980" s="217" customFormat="1" x14ac:dyDescent="0.25"/>
    <row r="981" s="217" customFormat="1" x14ac:dyDescent="0.25"/>
    <row r="982" s="217" customFormat="1" x14ac:dyDescent="0.25"/>
    <row r="983" s="217" customFormat="1" x14ac:dyDescent="0.25"/>
    <row r="984" s="217" customFormat="1" x14ac:dyDescent="0.25"/>
    <row r="985" s="217" customFormat="1" x14ac:dyDescent="0.25"/>
    <row r="986" s="217" customFormat="1" x14ac:dyDescent="0.25"/>
    <row r="987" s="217" customFormat="1" x14ac:dyDescent="0.25"/>
    <row r="988" s="217" customFormat="1" x14ac:dyDescent="0.25"/>
    <row r="989" s="217" customFormat="1" x14ac:dyDescent="0.25"/>
    <row r="990" s="217" customFormat="1" x14ac:dyDescent="0.25"/>
    <row r="991" s="217" customFormat="1" x14ac:dyDescent="0.25"/>
    <row r="992" s="217" customFormat="1" x14ac:dyDescent="0.25"/>
    <row r="993" s="217" customFormat="1" x14ac:dyDescent="0.25"/>
    <row r="994" s="217" customFormat="1" x14ac:dyDescent="0.25"/>
    <row r="995" s="217" customFormat="1" x14ac:dyDescent="0.25"/>
    <row r="996" s="217" customFormat="1" x14ac:dyDescent="0.25"/>
    <row r="997" s="217" customFormat="1" x14ac:dyDescent="0.25"/>
    <row r="998" s="217" customFormat="1" x14ac:dyDescent="0.25"/>
    <row r="999" s="217" customFormat="1" x14ac:dyDescent="0.25"/>
    <row r="1000" s="217" customFormat="1" x14ac:dyDescent="0.25"/>
  </sheetData>
  <mergeCells count="1315">
    <mergeCell ref="B653:E653"/>
    <mergeCell ref="F653:P653"/>
    <mergeCell ref="Q653:S653"/>
    <mergeCell ref="B654:E654"/>
    <mergeCell ref="F654:P654"/>
    <mergeCell ref="Q654:S654"/>
    <mergeCell ref="B649:E649"/>
    <mergeCell ref="F649:P649"/>
    <mergeCell ref="Q649:S649"/>
    <mergeCell ref="B650:E650"/>
    <mergeCell ref="F650:P650"/>
    <mergeCell ref="Q650:S650"/>
    <mergeCell ref="B645:E645"/>
    <mergeCell ref="F645:P645"/>
    <mergeCell ref="Q645:S645"/>
    <mergeCell ref="B646:E646"/>
    <mergeCell ref="F646:P646"/>
    <mergeCell ref="Q646:S646"/>
    <mergeCell ref="B642:D642"/>
    <mergeCell ref="E642:G642"/>
    <mergeCell ref="H642:J642"/>
    <mergeCell ref="K642:L642"/>
    <mergeCell ref="M642:O642"/>
    <mergeCell ref="P642:Q642"/>
    <mergeCell ref="B641:D641"/>
    <mergeCell ref="E641:G641"/>
    <mergeCell ref="H641:J641"/>
    <mergeCell ref="K641:L641"/>
    <mergeCell ref="M641:O641"/>
    <mergeCell ref="P641:Q641"/>
    <mergeCell ref="B638:D638"/>
    <mergeCell ref="E638:G638"/>
    <mergeCell ref="H638:J638"/>
    <mergeCell ref="K638:L638"/>
    <mergeCell ref="M638:O638"/>
    <mergeCell ref="P638:Q638"/>
    <mergeCell ref="B637:D637"/>
    <mergeCell ref="E637:G637"/>
    <mergeCell ref="H637:J637"/>
    <mergeCell ref="K637:L637"/>
    <mergeCell ref="M637:O637"/>
    <mergeCell ref="P637:Q637"/>
    <mergeCell ref="B631:C631"/>
    <mergeCell ref="D631:P631"/>
    <mergeCell ref="B633:C633"/>
    <mergeCell ref="D633:F633"/>
    <mergeCell ref="G633:H633"/>
    <mergeCell ref="B634:C634"/>
    <mergeCell ref="D634:F634"/>
    <mergeCell ref="G634:H634"/>
    <mergeCell ref="N634:O634"/>
    <mergeCell ref="B629:C629"/>
    <mergeCell ref="E629:F629"/>
    <mergeCell ref="H629:I629"/>
    <mergeCell ref="K629:L629"/>
    <mergeCell ref="N629:O629"/>
    <mergeCell ref="B630:C630"/>
    <mergeCell ref="E630:F630"/>
    <mergeCell ref="H630:I630"/>
    <mergeCell ref="K630:L630"/>
    <mergeCell ref="B626:C626"/>
    <mergeCell ref="E626:F626"/>
    <mergeCell ref="H626:I626"/>
    <mergeCell ref="K626:L626"/>
    <mergeCell ref="N626:O626"/>
    <mergeCell ref="B628:C628"/>
    <mergeCell ref="E628:F628"/>
    <mergeCell ref="H628:I628"/>
    <mergeCell ref="K628:L628"/>
    <mergeCell ref="N628:O628"/>
    <mergeCell ref="K624:L624"/>
    <mergeCell ref="N624:O624"/>
    <mergeCell ref="B625:C625"/>
    <mergeCell ref="E625:F625"/>
    <mergeCell ref="H625:I625"/>
    <mergeCell ref="K625:L625"/>
    <mergeCell ref="N625:O625"/>
    <mergeCell ref="B622:C622"/>
    <mergeCell ref="E622:F622"/>
    <mergeCell ref="H622:I622"/>
    <mergeCell ref="B624:C624"/>
    <mergeCell ref="E624:F624"/>
    <mergeCell ref="H624:I624"/>
    <mergeCell ref="D618:E618"/>
    <mergeCell ref="G618:H618"/>
    <mergeCell ref="J618:K618"/>
    <mergeCell ref="M618:N618"/>
    <mergeCell ref="D619:E619"/>
    <mergeCell ref="G619:H619"/>
    <mergeCell ref="J619:K619"/>
    <mergeCell ref="M619:N619"/>
    <mergeCell ref="B608:C608"/>
    <mergeCell ref="D608:F608"/>
    <mergeCell ref="D617:E617"/>
    <mergeCell ref="G617:H617"/>
    <mergeCell ref="J617:K617"/>
    <mergeCell ref="M617:N617"/>
    <mergeCell ref="B605:C605"/>
    <mergeCell ref="D605:F605"/>
    <mergeCell ref="B606:C606"/>
    <mergeCell ref="D606:F606"/>
    <mergeCell ref="B607:C607"/>
    <mergeCell ref="D607:F607"/>
    <mergeCell ref="B601:E601"/>
    <mergeCell ref="F601:P601"/>
    <mergeCell ref="Q601:S601"/>
    <mergeCell ref="B602:E602"/>
    <mergeCell ref="F602:P602"/>
    <mergeCell ref="Q602:S602"/>
    <mergeCell ref="B597:E597"/>
    <mergeCell ref="F597:P597"/>
    <mergeCell ref="Q597:S597"/>
    <mergeCell ref="B598:E598"/>
    <mergeCell ref="F598:P598"/>
    <mergeCell ref="Q598:S598"/>
    <mergeCell ref="B593:E593"/>
    <mergeCell ref="F593:P593"/>
    <mergeCell ref="Q593:S593"/>
    <mergeCell ref="B594:E594"/>
    <mergeCell ref="F594:P594"/>
    <mergeCell ref="Q594:S594"/>
    <mergeCell ref="B590:D590"/>
    <mergeCell ref="E590:G590"/>
    <mergeCell ref="H590:J590"/>
    <mergeCell ref="K590:L590"/>
    <mergeCell ref="M590:O590"/>
    <mergeCell ref="P590:Q590"/>
    <mergeCell ref="B589:D589"/>
    <mergeCell ref="E589:G589"/>
    <mergeCell ref="H589:J589"/>
    <mergeCell ref="K589:L589"/>
    <mergeCell ref="M589:O589"/>
    <mergeCell ref="P589:Q589"/>
    <mergeCell ref="B586:D586"/>
    <mergeCell ref="E586:G586"/>
    <mergeCell ref="H586:J586"/>
    <mergeCell ref="K586:L586"/>
    <mergeCell ref="M586:O586"/>
    <mergeCell ref="P586:Q586"/>
    <mergeCell ref="B585:D585"/>
    <mergeCell ref="E585:G585"/>
    <mergeCell ref="H585:J585"/>
    <mergeCell ref="K585:L585"/>
    <mergeCell ref="M585:O585"/>
    <mergeCell ref="P585:Q585"/>
    <mergeCell ref="B579:C579"/>
    <mergeCell ref="D579:P579"/>
    <mergeCell ref="B581:C581"/>
    <mergeCell ref="D581:F581"/>
    <mergeCell ref="G581:H581"/>
    <mergeCell ref="B582:C582"/>
    <mergeCell ref="D582:F582"/>
    <mergeCell ref="G582:H582"/>
    <mergeCell ref="N582:O582"/>
    <mergeCell ref="B577:C577"/>
    <mergeCell ref="E577:F577"/>
    <mergeCell ref="H577:I577"/>
    <mergeCell ref="K577:L577"/>
    <mergeCell ref="N577:O577"/>
    <mergeCell ref="B578:C578"/>
    <mergeCell ref="E578:F578"/>
    <mergeCell ref="H578:I578"/>
    <mergeCell ref="K578:L578"/>
    <mergeCell ref="B574:C574"/>
    <mergeCell ref="E574:F574"/>
    <mergeCell ref="H574:I574"/>
    <mergeCell ref="K574:L574"/>
    <mergeCell ref="N574:O574"/>
    <mergeCell ref="B576:C576"/>
    <mergeCell ref="E576:F576"/>
    <mergeCell ref="H576:I576"/>
    <mergeCell ref="K576:L576"/>
    <mergeCell ref="N576:O576"/>
    <mergeCell ref="K572:L572"/>
    <mergeCell ref="N572:O572"/>
    <mergeCell ref="B573:C573"/>
    <mergeCell ref="E573:F573"/>
    <mergeCell ref="H573:I573"/>
    <mergeCell ref="K573:L573"/>
    <mergeCell ref="N573:O573"/>
    <mergeCell ref="B570:C570"/>
    <mergeCell ref="E570:F570"/>
    <mergeCell ref="H570:I570"/>
    <mergeCell ref="B572:C572"/>
    <mergeCell ref="E572:F572"/>
    <mergeCell ref="H572:I572"/>
    <mergeCell ref="D566:E566"/>
    <mergeCell ref="G566:H566"/>
    <mergeCell ref="J566:K566"/>
    <mergeCell ref="M566:N566"/>
    <mergeCell ref="D567:E567"/>
    <mergeCell ref="G567:H567"/>
    <mergeCell ref="J567:K567"/>
    <mergeCell ref="M567:N567"/>
    <mergeCell ref="B556:C556"/>
    <mergeCell ref="D556:F556"/>
    <mergeCell ref="D565:E565"/>
    <mergeCell ref="G565:H565"/>
    <mergeCell ref="J565:K565"/>
    <mergeCell ref="M565:N565"/>
    <mergeCell ref="B553:C553"/>
    <mergeCell ref="D553:F553"/>
    <mergeCell ref="B554:C554"/>
    <mergeCell ref="D554:F554"/>
    <mergeCell ref="B555:C555"/>
    <mergeCell ref="D555:F555"/>
    <mergeCell ref="B549:E549"/>
    <mergeCell ref="F549:P549"/>
    <mergeCell ref="Q549:S549"/>
    <mergeCell ref="B550:E550"/>
    <mergeCell ref="F550:P550"/>
    <mergeCell ref="Q550:S550"/>
    <mergeCell ref="B545:E545"/>
    <mergeCell ref="F545:P545"/>
    <mergeCell ref="Q545:S545"/>
    <mergeCell ref="B546:E546"/>
    <mergeCell ref="F546:P546"/>
    <mergeCell ref="Q546:S546"/>
    <mergeCell ref="B541:E541"/>
    <mergeCell ref="F541:P541"/>
    <mergeCell ref="Q541:S541"/>
    <mergeCell ref="B542:E542"/>
    <mergeCell ref="F542:P542"/>
    <mergeCell ref="Q542:S542"/>
    <mergeCell ref="B538:D538"/>
    <mergeCell ref="E538:G538"/>
    <mergeCell ref="H538:J538"/>
    <mergeCell ref="K538:L538"/>
    <mergeCell ref="M538:O538"/>
    <mergeCell ref="P538:Q538"/>
    <mergeCell ref="B537:D537"/>
    <mergeCell ref="E537:G537"/>
    <mergeCell ref="H537:J537"/>
    <mergeCell ref="K537:L537"/>
    <mergeCell ref="M537:O537"/>
    <mergeCell ref="P537:Q537"/>
    <mergeCell ref="B534:D534"/>
    <mergeCell ref="E534:G534"/>
    <mergeCell ref="H534:J534"/>
    <mergeCell ref="K534:L534"/>
    <mergeCell ref="M534:O534"/>
    <mergeCell ref="P534:Q534"/>
    <mergeCell ref="B533:D533"/>
    <mergeCell ref="E533:G533"/>
    <mergeCell ref="H533:J533"/>
    <mergeCell ref="K533:L533"/>
    <mergeCell ref="M533:O533"/>
    <mergeCell ref="P533:Q533"/>
    <mergeCell ref="B527:C527"/>
    <mergeCell ref="D527:P527"/>
    <mergeCell ref="B529:C529"/>
    <mergeCell ref="D529:F529"/>
    <mergeCell ref="G529:H529"/>
    <mergeCell ref="B530:C530"/>
    <mergeCell ref="D530:F530"/>
    <mergeCell ref="G530:H530"/>
    <mergeCell ref="N530:O530"/>
    <mergeCell ref="B525:C525"/>
    <mergeCell ref="E525:F525"/>
    <mergeCell ref="H525:I525"/>
    <mergeCell ref="K525:L525"/>
    <mergeCell ref="N525:O525"/>
    <mergeCell ref="B526:C526"/>
    <mergeCell ref="E526:F526"/>
    <mergeCell ref="H526:I526"/>
    <mergeCell ref="K526:L526"/>
    <mergeCell ref="B522:C522"/>
    <mergeCell ref="E522:F522"/>
    <mergeCell ref="H522:I522"/>
    <mergeCell ref="K522:L522"/>
    <mergeCell ref="N522:O522"/>
    <mergeCell ref="B524:C524"/>
    <mergeCell ref="E524:F524"/>
    <mergeCell ref="H524:I524"/>
    <mergeCell ref="K524:L524"/>
    <mergeCell ref="N524:O524"/>
    <mergeCell ref="B520:C520"/>
    <mergeCell ref="E520:F520"/>
    <mergeCell ref="H520:I520"/>
    <mergeCell ref="K520:L520"/>
    <mergeCell ref="N520:O520"/>
    <mergeCell ref="B521:C521"/>
    <mergeCell ref="E521:F521"/>
    <mergeCell ref="H521:I521"/>
    <mergeCell ref="K521:L521"/>
    <mergeCell ref="N521:O521"/>
    <mergeCell ref="D515:E515"/>
    <mergeCell ref="G515:H515"/>
    <mergeCell ref="J515:K515"/>
    <mergeCell ref="M515:N515"/>
    <mergeCell ref="B518:C518"/>
    <mergeCell ref="E518:F518"/>
    <mergeCell ref="H518:I518"/>
    <mergeCell ref="J513:K513"/>
    <mergeCell ref="M513:N513"/>
    <mergeCell ref="D514:E514"/>
    <mergeCell ref="G514:H514"/>
    <mergeCell ref="J514:K514"/>
    <mergeCell ref="M514:N514"/>
    <mergeCell ref="B503:C503"/>
    <mergeCell ref="D503:F503"/>
    <mergeCell ref="B504:C504"/>
    <mergeCell ref="D504:F504"/>
    <mergeCell ref="D513:E513"/>
    <mergeCell ref="G513:H513"/>
    <mergeCell ref="B498:E498"/>
    <mergeCell ref="F498:P498"/>
    <mergeCell ref="Q498:S498"/>
    <mergeCell ref="B501:C501"/>
    <mergeCell ref="D501:F501"/>
    <mergeCell ref="B502:C502"/>
    <mergeCell ref="D502:F502"/>
    <mergeCell ref="B496:E496"/>
    <mergeCell ref="F496:P496"/>
    <mergeCell ref="Q496:S496"/>
    <mergeCell ref="B497:E497"/>
    <mergeCell ref="F497:P497"/>
    <mergeCell ref="Q497:S497"/>
    <mergeCell ref="P492:Q492"/>
    <mergeCell ref="B493:D493"/>
    <mergeCell ref="E493:G493"/>
    <mergeCell ref="H493:J493"/>
    <mergeCell ref="K493:L493"/>
    <mergeCell ref="M493:O493"/>
    <mergeCell ref="P493:Q493"/>
    <mergeCell ref="B489:C489"/>
    <mergeCell ref="D489:F489"/>
    <mergeCell ref="G489:H489"/>
    <mergeCell ref="N489:O489"/>
    <mergeCell ref="B492:D492"/>
    <mergeCell ref="E492:G492"/>
    <mergeCell ref="H492:J492"/>
    <mergeCell ref="K492:L492"/>
    <mergeCell ref="M492:O492"/>
    <mergeCell ref="B487:C487"/>
    <mergeCell ref="D487:F487"/>
    <mergeCell ref="G487:H487"/>
    <mergeCell ref="B488:C488"/>
    <mergeCell ref="D488:F488"/>
    <mergeCell ref="G488:H488"/>
    <mergeCell ref="B483:C483"/>
    <mergeCell ref="D483:P483"/>
    <mergeCell ref="B485:C485"/>
    <mergeCell ref="D485:F485"/>
    <mergeCell ref="G485:H485"/>
    <mergeCell ref="B486:C486"/>
    <mergeCell ref="D486:F486"/>
    <mergeCell ref="G486:H486"/>
    <mergeCell ref="B481:C481"/>
    <mergeCell ref="E481:F481"/>
    <mergeCell ref="H481:I481"/>
    <mergeCell ref="K481:L481"/>
    <mergeCell ref="N481:O481"/>
    <mergeCell ref="B482:C482"/>
    <mergeCell ref="E482:F482"/>
    <mergeCell ref="H482:I482"/>
    <mergeCell ref="K482:L482"/>
    <mergeCell ref="B478:C478"/>
    <mergeCell ref="E478:F478"/>
    <mergeCell ref="H478:I478"/>
    <mergeCell ref="K478:L478"/>
    <mergeCell ref="N478:O478"/>
    <mergeCell ref="B480:C480"/>
    <mergeCell ref="E480:F480"/>
    <mergeCell ref="H480:I480"/>
    <mergeCell ref="K480:L480"/>
    <mergeCell ref="N480:O480"/>
    <mergeCell ref="K476:L476"/>
    <mergeCell ref="N476:O476"/>
    <mergeCell ref="B477:C477"/>
    <mergeCell ref="E477:F477"/>
    <mergeCell ref="H477:I477"/>
    <mergeCell ref="K477:L477"/>
    <mergeCell ref="N477:O477"/>
    <mergeCell ref="B474:C474"/>
    <mergeCell ref="E474:F474"/>
    <mergeCell ref="H474:I474"/>
    <mergeCell ref="B476:C476"/>
    <mergeCell ref="E476:F476"/>
    <mergeCell ref="H476:I476"/>
    <mergeCell ref="D470:E470"/>
    <mergeCell ref="G470:H470"/>
    <mergeCell ref="J470:K470"/>
    <mergeCell ref="M470:N470"/>
    <mergeCell ref="D471:E471"/>
    <mergeCell ref="G471:H471"/>
    <mergeCell ref="J471:K471"/>
    <mergeCell ref="M471:N471"/>
    <mergeCell ref="B460:C460"/>
    <mergeCell ref="D460:F460"/>
    <mergeCell ref="D469:E469"/>
    <mergeCell ref="G469:H469"/>
    <mergeCell ref="J469:K469"/>
    <mergeCell ref="M469:N469"/>
    <mergeCell ref="B457:C457"/>
    <mergeCell ref="D457:F457"/>
    <mergeCell ref="B458:C458"/>
    <mergeCell ref="D458:F458"/>
    <mergeCell ref="B459:C459"/>
    <mergeCell ref="D459:F459"/>
    <mergeCell ref="B453:E453"/>
    <mergeCell ref="F453:P453"/>
    <mergeCell ref="Q453:S453"/>
    <mergeCell ref="B454:E454"/>
    <mergeCell ref="F454:P454"/>
    <mergeCell ref="Q454:S454"/>
    <mergeCell ref="B449:E449"/>
    <mergeCell ref="F449:P449"/>
    <mergeCell ref="Q449:S449"/>
    <mergeCell ref="B450:E450"/>
    <mergeCell ref="F450:P450"/>
    <mergeCell ref="Q450:S450"/>
    <mergeCell ref="B445:E445"/>
    <mergeCell ref="F445:P445"/>
    <mergeCell ref="Q445:S445"/>
    <mergeCell ref="B446:E446"/>
    <mergeCell ref="F446:P446"/>
    <mergeCell ref="Q446:S446"/>
    <mergeCell ref="B442:D442"/>
    <mergeCell ref="E442:G442"/>
    <mergeCell ref="H442:J442"/>
    <mergeCell ref="K442:L442"/>
    <mergeCell ref="M442:O442"/>
    <mergeCell ref="P442:Q442"/>
    <mergeCell ref="B441:D441"/>
    <mergeCell ref="E441:G441"/>
    <mergeCell ref="H441:J441"/>
    <mergeCell ref="K441:L441"/>
    <mergeCell ref="M441:O441"/>
    <mergeCell ref="P441:Q441"/>
    <mergeCell ref="P437:Q437"/>
    <mergeCell ref="B438:D438"/>
    <mergeCell ref="E438:G438"/>
    <mergeCell ref="H438:J438"/>
    <mergeCell ref="K438:L438"/>
    <mergeCell ref="M438:O438"/>
    <mergeCell ref="P438:Q438"/>
    <mergeCell ref="B434:C434"/>
    <mergeCell ref="D434:F434"/>
    <mergeCell ref="G434:H434"/>
    <mergeCell ref="N434:O434"/>
    <mergeCell ref="B437:D437"/>
    <mergeCell ref="E437:G437"/>
    <mergeCell ref="H437:J437"/>
    <mergeCell ref="K437:L437"/>
    <mergeCell ref="M437:O437"/>
    <mergeCell ref="B432:C432"/>
    <mergeCell ref="D432:F432"/>
    <mergeCell ref="G432:H432"/>
    <mergeCell ref="B433:C433"/>
    <mergeCell ref="D433:F433"/>
    <mergeCell ref="G433:H433"/>
    <mergeCell ref="B430:C430"/>
    <mergeCell ref="D430:F430"/>
    <mergeCell ref="G430:H430"/>
    <mergeCell ref="B431:C431"/>
    <mergeCell ref="D431:F431"/>
    <mergeCell ref="G431:H431"/>
    <mergeCell ref="B428:C428"/>
    <mergeCell ref="D428:F428"/>
    <mergeCell ref="G428:H428"/>
    <mergeCell ref="B429:C429"/>
    <mergeCell ref="D429:F429"/>
    <mergeCell ref="G429:H429"/>
    <mergeCell ref="B424:C424"/>
    <mergeCell ref="D424:P424"/>
    <mergeCell ref="B426:C426"/>
    <mergeCell ref="D426:F426"/>
    <mergeCell ref="G426:H426"/>
    <mergeCell ref="B427:C427"/>
    <mergeCell ref="D427:F427"/>
    <mergeCell ref="G427:H427"/>
    <mergeCell ref="B422:C422"/>
    <mergeCell ref="E422:F422"/>
    <mergeCell ref="H422:I422"/>
    <mergeCell ref="K422:L422"/>
    <mergeCell ref="N422:O422"/>
    <mergeCell ref="B423:C423"/>
    <mergeCell ref="E423:F423"/>
    <mergeCell ref="H423:I423"/>
    <mergeCell ref="K423:L423"/>
    <mergeCell ref="B419:C419"/>
    <mergeCell ref="E419:F419"/>
    <mergeCell ref="H419:I419"/>
    <mergeCell ref="K419:L419"/>
    <mergeCell ref="N419:O419"/>
    <mergeCell ref="B421:C421"/>
    <mergeCell ref="E421:F421"/>
    <mergeCell ref="H421:I421"/>
    <mergeCell ref="K421:L421"/>
    <mergeCell ref="N421:O421"/>
    <mergeCell ref="K417:L417"/>
    <mergeCell ref="N417:O417"/>
    <mergeCell ref="B418:C418"/>
    <mergeCell ref="E418:F418"/>
    <mergeCell ref="H418:I418"/>
    <mergeCell ref="K418:L418"/>
    <mergeCell ref="N418:O418"/>
    <mergeCell ref="B415:C415"/>
    <mergeCell ref="E415:F415"/>
    <mergeCell ref="H415:I415"/>
    <mergeCell ref="B417:C417"/>
    <mergeCell ref="E417:F417"/>
    <mergeCell ref="H417:I417"/>
    <mergeCell ref="D411:E411"/>
    <mergeCell ref="G411:H411"/>
    <mergeCell ref="J411:K411"/>
    <mergeCell ref="M411:N411"/>
    <mergeCell ref="D412:E412"/>
    <mergeCell ref="G412:H412"/>
    <mergeCell ref="J412:K412"/>
    <mergeCell ref="M412:N412"/>
    <mergeCell ref="B401:C401"/>
    <mergeCell ref="D401:F401"/>
    <mergeCell ref="D410:E410"/>
    <mergeCell ref="G410:H410"/>
    <mergeCell ref="J410:K410"/>
    <mergeCell ref="M410:N410"/>
    <mergeCell ref="B398:C398"/>
    <mergeCell ref="D398:F398"/>
    <mergeCell ref="B399:C399"/>
    <mergeCell ref="D399:F399"/>
    <mergeCell ref="B400:C400"/>
    <mergeCell ref="D400:F400"/>
    <mergeCell ref="B394:E394"/>
    <mergeCell ref="F394:P394"/>
    <mergeCell ref="Q394:S394"/>
    <mergeCell ref="B395:E395"/>
    <mergeCell ref="F395:P395"/>
    <mergeCell ref="Q395:S395"/>
    <mergeCell ref="B391:D391"/>
    <mergeCell ref="E391:G391"/>
    <mergeCell ref="H391:J391"/>
    <mergeCell ref="K391:L391"/>
    <mergeCell ref="M391:O391"/>
    <mergeCell ref="P391:Q391"/>
    <mergeCell ref="B390:D390"/>
    <mergeCell ref="E390:G390"/>
    <mergeCell ref="H390:J390"/>
    <mergeCell ref="K390:L390"/>
    <mergeCell ref="M390:O390"/>
    <mergeCell ref="P390:Q390"/>
    <mergeCell ref="B387:D387"/>
    <mergeCell ref="E387:G387"/>
    <mergeCell ref="H387:J387"/>
    <mergeCell ref="K387:L387"/>
    <mergeCell ref="M387:O387"/>
    <mergeCell ref="P387:Q387"/>
    <mergeCell ref="B386:D386"/>
    <mergeCell ref="E386:G386"/>
    <mergeCell ref="H386:J386"/>
    <mergeCell ref="K386:L386"/>
    <mergeCell ref="M386:O386"/>
    <mergeCell ref="P386:Q386"/>
    <mergeCell ref="B380:C380"/>
    <mergeCell ref="D380:P380"/>
    <mergeCell ref="B382:C382"/>
    <mergeCell ref="D382:F382"/>
    <mergeCell ref="G382:H382"/>
    <mergeCell ref="B383:C383"/>
    <mergeCell ref="D383:F383"/>
    <mergeCell ref="G383:H383"/>
    <mergeCell ref="N383:O383"/>
    <mergeCell ref="B378:C378"/>
    <mergeCell ref="E378:F378"/>
    <mergeCell ref="H378:I378"/>
    <mergeCell ref="K378:L378"/>
    <mergeCell ref="N378:O378"/>
    <mergeCell ref="B379:C379"/>
    <mergeCell ref="E379:F379"/>
    <mergeCell ref="H379:I379"/>
    <mergeCell ref="K379:L379"/>
    <mergeCell ref="B375:C375"/>
    <mergeCell ref="E375:F375"/>
    <mergeCell ref="H375:I375"/>
    <mergeCell ref="K375:L375"/>
    <mergeCell ref="N375:O375"/>
    <mergeCell ref="B377:C377"/>
    <mergeCell ref="E377:F377"/>
    <mergeCell ref="H377:I377"/>
    <mergeCell ref="K377:L377"/>
    <mergeCell ref="N377:O377"/>
    <mergeCell ref="K373:L373"/>
    <mergeCell ref="N373:O373"/>
    <mergeCell ref="B374:C374"/>
    <mergeCell ref="E374:F374"/>
    <mergeCell ref="H374:I374"/>
    <mergeCell ref="K374:L374"/>
    <mergeCell ref="N374:O374"/>
    <mergeCell ref="B371:C371"/>
    <mergeCell ref="E371:F371"/>
    <mergeCell ref="H371:I371"/>
    <mergeCell ref="B373:C373"/>
    <mergeCell ref="E373:F373"/>
    <mergeCell ref="H373:I373"/>
    <mergeCell ref="D367:E367"/>
    <mergeCell ref="G367:H367"/>
    <mergeCell ref="J367:K367"/>
    <mergeCell ref="M367:N367"/>
    <mergeCell ref="D368:E368"/>
    <mergeCell ref="G368:H368"/>
    <mergeCell ref="J368:K368"/>
    <mergeCell ref="M368:N368"/>
    <mergeCell ref="B357:C357"/>
    <mergeCell ref="D357:F357"/>
    <mergeCell ref="D366:E366"/>
    <mergeCell ref="G366:H366"/>
    <mergeCell ref="J366:K366"/>
    <mergeCell ref="M366:N366"/>
    <mergeCell ref="B354:C354"/>
    <mergeCell ref="D354:F354"/>
    <mergeCell ref="B355:C355"/>
    <mergeCell ref="D355:F355"/>
    <mergeCell ref="B356:C356"/>
    <mergeCell ref="D356:F356"/>
    <mergeCell ref="B350:E350"/>
    <mergeCell ref="F350:P350"/>
    <mergeCell ref="Q350:S350"/>
    <mergeCell ref="B351:E351"/>
    <mergeCell ref="F351:P351"/>
    <mergeCell ref="Q351:S351"/>
    <mergeCell ref="B346:E346"/>
    <mergeCell ref="F346:P346"/>
    <mergeCell ref="Q346:S346"/>
    <mergeCell ref="B347:E347"/>
    <mergeCell ref="F347:P347"/>
    <mergeCell ref="Q347:S347"/>
    <mergeCell ref="P342:Q342"/>
    <mergeCell ref="B343:D343"/>
    <mergeCell ref="E343:G343"/>
    <mergeCell ref="H343:J343"/>
    <mergeCell ref="K343:L343"/>
    <mergeCell ref="M343:O343"/>
    <mergeCell ref="P343:Q343"/>
    <mergeCell ref="B339:C339"/>
    <mergeCell ref="D339:F339"/>
    <mergeCell ref="G339:H339"/>
    <mergeCell ref="N339:O339"/>
    <mergeCell ref="B342:D342"/>
    <mergeCell ref="E342:G342"/>
    <mergeCell ref="H342:J342"/>
    <mergeCell ref="K342:L342"/>
    <mergeCell ref="M342:O342"/>
    <mergeCell ref="B337:C337"/>
    <mergeCell ref="D337:F337"/>
    <mergeCell ref="G337:H337"/>
    <mergeCell ref="B338:C338"/>
    <mergeCell ref="D338:F338"/>
    <mergeCell ref="G338:H338"/>
    <mergeCell ref="B333:C333"/>
    <mergeCell ref="D333:P333"/>
    <mergeCell ref="B335:C335"/>
    <mergeCell ref="D335:F335"/>
    <mergeCell ref="G335:H335"/>
    <mergeCell ref="B336:C336"/>
    <mergeCell ref="D336:F336"/>
    <mergeCell ref="G336:H336"/>
    <mergeCell ref="B331:C331"/>
    <mergeCell ref="E331:F331"/>
    <mergeCell ref="H331:I331"/>
    <mergeCell ref="K331:L331"/>
    <mergeCell ref="N331:O331"/>
    <mergeCell ref="B332:C332"/>
    <mergeCell ref="E332:F332"/>
    <mergeCell ref="H332:I332"/>
    <mergeCell ref="K332:L332"/>
    <mergeCell ref="B328:C328"/>
    <mergeCell ref="E328:F328"/>
    <mergeCell ref="H328:I328"/>
    <mergeCell ref="K328:L328"/>
    <mergeCell ref="N328:O328"/>
    <mergeCell ref="B330:C330"/>
    <mergeCell ref="E330:F330"/>
    <mergeCell ref="H330:I330"/>
    <mergeCell ref="K330:L330"/>
    <mergeCell ref="N330:O330"/>
    <mergeCell ref="B326:C326"/>
    <mergeCell ref="E326:F326"/>
    <mergeCell ref="H326:I326"/>
    <mergeCell ref="K326:L326"/>
    <mergeCell ref="N326:O326"/>
    <mergeCell ref="B327:C327"/>
    <mergeCell ref="E327:F327"/>
    <mergeCell ref="H327:I327"/>
    <mergeCell ref="K327:L327"/>
    <mergeCell ref="N327:O327"/>
    <mergeCell ref="D321:E321"/>
    <mergeCell ref="G321:H321"/>
    <mergeCell ref="J321:K321"/>
    <mergeCell ref="M321:N321"/>
    <mergeCell ref="B324:C324"/>
    <mergeCell ref="E324:F324"/>
    <mergeCell ref="H324:I324"/>
    <mergeCell ref="J319:K319"/>
    <mergeCell ref="M319:N319"/>
    <mergeCell ref="D320:E320"/>
    <mergeCell ref="G320:H320"/>
    <mergeCell ref="J320:K320"/>
    <mergeCell ref="M320:N320"/>
    <mergeCell ref="B309:C309"/>
    <mergeCell ref="D309:F309"/>
    <mergeCell ref="B310:C310"/>
    <mergeCell ref="D310:F310"/>
    <mergeCell ref="D319:E319"/>
    <mergeCell ref="G319:H319"/>
    <mergeCell ref="B304:E304"/>
    <mergeCell ref="F304:P304"/>
    <mergeCell ref="Q304:S304"/>
    <mergeCell ref="B307:C307"/>
    <mergeCell ref="D307:F307"/>
    <mergeCell ref="B308:C308"/>
    <mergeCell ref="D308:F308"/>
    <mergeCell ref="B300:E300"/>
    <mergeCell ref="F300:P300"/>
    <mergeCell ref="Q300:S300"/>
    <mergeCell ref="B303:E303"/>
    <mergeCell ref="F303:P303"/>
    <mergeCell ref="Q303:S303"/>
    <mergeCell ref="B298:E298"/>
    <mergeCell ref="F298:P298"/>
    <mergeCell ref="Q298:S298"/>
    <mergeCell ref="B299:E299"/>
    <mergeCell ref="F299:P299"/>
    <mergeCell ref="Q299:S299"/>
    <mergeCell ref="B295:D295"/>
    <mergeCell ref="E295:G295"/>
    <mergeCell ref="H295:J295"/>
    <mergeCell ref="K295:L295"/>
    <mergeCell ref="M295:O295"/>
    <mergeCell ref="P295:Q295"/>
    <mergeCell ref="B294:D294"/>
    <mergeCell ref="E294:G294"/>
    <mergeCell ref="H294:J294"/>
    <mergeCell ref="K294:L294"/>
    <mergeCell ref="M294:O294"/>
    <mergeCell ref="P294:Q294"/>
    <mergeCell ref="B291:D291"/>
    <mergeCell ref="E291:G291"/>
    <mergeCell ref="H291:J291"/>
    <mergeCell ref="K291:L291"/>
    <mergeCell ref="M291:O291"/>
    <mergeCell ref="P291:Q291"/>
    <mergeCell ref="B290:D290"/>
    <mergeCell ref="E290:G290"/>
    <mergeCell ref="H290:J290"/>
    <mergeCell ref="K290:L290"/>
    <mergeCell ref="M290:O290"/>
    <mergeCell ref="P290:Q290"/>
    <mergeCell ref="B284:C284"/>
    <mergeCell ref="D284:P284"/>
    <mergeCell ref="B286:C286"/>
    <mergeCell ref="D286:F286"/>
    <mergeCell ref="G286:H286"/>
    <mergeCell ref="B287:C287"/>
    <mergeCell ref="D287:F287"/>
    <mergeCell ref="G287:H287"/>
    <mergeCell ref="N287:O287"/>
    <mergeCell ref="B282:C282"/>
    <mergeCell ref="E282:F282"/>
    <mergeCell ref="H282:I282"/>
    <mergeCell ref="K282:L282"/>
    <mergeCell ref="N282:O282"/>
    <mergeCell ref="B283:C283"/>
    <mergeCell ref="E283:F283"/>
    <mergeCell ref="H283:I283"/>
    <mergeCell ref="K283:L283"/>
    <mergeCell ref="B279:C279"/>
    <mergeCell ref="E279:F279"/>
    <mergeCell ref="H279:I279"/>
    <mergeCell ref="K279:L279"/>
    <mergeCell ref="N279:O279"/>
    <mergeCell ref="B281:C281"/>
    <mergeCell ref="E281:F281"/>
    <mergeCell ref="H281:I281"/>
    <mergeCell ref="K281:L281"/>
    <mergeCell ref="N281:O281"/>
    <mergeCell ref="B277:C277"/>
    <mergeCell ref="E277:F277"/>
    <mergeCell ref="H277:I277"/>
    <mergeCell ref="K277:L277"/>
    <mergeCell ref="N277:O277"/>
    <mergeCell ref="B278:C278"/>
    <mergeCell ref="E278:F278"/>
    <mergeCell ref="H278:I278"/>
    <mergeCell ref="K278:L278"/>
    <mergeCell ref="N278:O278"/>
    <mergeCell ref="D272:E272"/>
    <mergeCell ref="G272:H272"/>
    <mergeCell ref="J272:K272"/>
    <mergeCell ref="M272:N272"/>
    <mergeCell ref="B275:C275"/>
    <mergeCell ref="E275:F275"/>
    <mergeCell ref="H275:I275"/>
    <mergeCell ref="J270:K270"/>
    <mergeCell ref="M270:N270"/>
    <mergeCell ref="D271:E271"/>
    <mergeCell ref="G271:H271"/>
    <mergeCell ref="J271:K271"/>
    <mergeCell ref="M271:N271"/>
    <mergeCell ref="B260:C260"/>
    <mergeCell ref="D260:F260"/>
    <mergeCell ref="B261:C261"/>
    <mergeCell ref="D261:F261"/>
    <mergeCell ref="D270:E270"/>
    <mergeCell ref="G270:H270"/>
    <mergeCell ref="B255:E255"/>
    <mergeCell ref="F255:P255"/>
    <mergeCell ref="Q255:S255"/>
    <mergeCell ref="B258:C258"/>
    <mergeCell ref="D258:F258"/>
    <mergeCell ref="B259:C259"/>
    <mergeCell ref="D259:F259"/>
    <mergeCell ref="B253:E253"/>
    <mergeCell ref="F253:P253"/>
    <mergeCell ref="Q253:S253"/>
    <mergeCell ref="B254:E254"/>
    <mergeCell ref="F254:P254"/>
    <mergeCell ref="Q254:S254"/>
    <mergeCell ref="B249:E249"/>
    <mergeCell ref="F249:P249"/>
    <mergeCell ref="Q249:S249"/>
    <mergeCell ref="B250:E250"/>
    <mergeCell ref="F250:P250"/>
    <mergeCell ref="Q250:S250"/>
    <mergeCell ref="B246:D246"/>
    <mergeCell ref="E246:G246"/>
    <mergeCell ref="H246:J246"/>
    <mergeCell ref="K246:L246"/>
    <mergeCell ref="M246:O246"/>
    <mergeCell ref="P246:Q246"/>
    <mergeCell ref="B245:D245"/>
    <mergeCell ref="E245:G245"/>
    <mergeCell ref="H245:J245"/>
    <mergeCell ref="K245:L245"/>
    <mergeCell ref="M245:O245"/>
    <mergeCell ref="P245:Q245"/>
    <mergeCell ref="B242:D242"/>
    <mergeCell ref="E242:G242"/>
    <mergeCell ref="H242:J242"/>
    <mergeCell ref="K242:L242"/>
    <mergeCell ref="M242:O242"/>
    <mergeCell ref="P242:Q242"/>
    <mergeCell ref="B241:D241"/>
    <mergeCell ref="E241:G241"/>
    <mergeCell ref="H241:J241"/>
    <mergeCell ref="K241:L241"/>
    <mergeCell ref="M241:O241"/>
    <mergeCell ref="P241:Q241"/>
    <mergeCell ref="B235:C235"/>
    <mergeCell ref="D235:P235"/>
    <mergeCell ref="B237:C237"/>
    <mergeCell ref="D237:F237"/>
    <mergeCell ref="G237:H237"/>
    <mergeCell ref="B238:C238"/>
    <mergeCell ref="D238:F238"/>
    <mergeCell ref="G238:H238"/>
    <mergeCell ref="N238:O238"/>
    <mergeCell ref="B233:C233"/>
    <mergeCell ref="E233:F233"/>
    <mergeCell ref="H233:I233"/>
    <mergeCell ref="K233:L233"/>
    <mergeCell ref="N233:O233"/>
    <mergeCell ref="B234:C234"/>
    <mergeCell ref="E234:F234"/>
    <mergeCell ref="H234:I234"/>
    <mergeCell ref="K234:L234"/>
    <mergeCell ref="B230:C230"/>
    <mergeCell ref="E230:F230"/>
    <mergeCell ref="H230:I230"/>
    <mergeCell ref="K230:L230"/>
    <mergeCell ref="N230:O230"/>
    <mergeCell ref="B232:C232"/>
    <mergeCell ref="E232:F232"/>
    <mergeCell ref="H232:I232"/>
    <mergeCell ref="K232:L232"/>
    <mergeCell ref="N232:O232"/>
    <mergeCell ref="B228:C228"/>
    <mergeCell ref="E228:F228"/>
    <mergeCell ref="H228:I228"/>
    <mergeCell ref="K228:L228"/>
    <mergeCell ref="N228:O228"/>
    <mergeCell ref="B229:C229"/>
    <mergeCell ref="E229:F229"/>
    <mergeCell ref="H229:I229"/>
    <mergeCell ref="K229:L229"/>
    <mergeCell ref="N229:O229"/>
    <mergeCell ref="D223:E223"/>
    <mergeCell ref="G223:H223"/>
    <mergeCell ref="J223:K223"/>
    <mergeCell ref="M223:N223"/>
    <mergeCell ref="B226:C226"/>
    <mergeCell ref="E226:F226"/>
    <mergeCell ref="H226:I226"/>
    <mergeCell ref="J221:K221"/>
    <mergeCell ref="M221:N221"/>
    <mergeCell ref="D222:E222"/>
    <mergeCell ref="G222:H222"/>
    <mergeCell ref="J222:K222"/>
    <mergeCell ref="M222:N222"/>
    <mergeCell ref="B211:C211"/>
    <mergeCell ref="D211:F211"/>
    <mergeCell ref="B212:C212"/>
    <mergeCell ref="D212:F212"/>
    <mergeCell ref="D221:E221"/>
    <mergeCell ref="G221:H221"/>
    <mergeCell ref="B206:E206"/>
    <mergeCell ref="F206:P206"/>
    <mergeCell ref="Q206:S206"/>
    <mergeCell ref="B209:C209"/>
    <mergeCell ref="D209:F209"/>
    <mergeCell ref="B210:C210"/>
    <mergeCell ref="D210:F210"/>
    <mergeCell ref="B204:E204"/>
    <mergeCell ref="F204:P204"/>
    <mergeCell ref="Q204:S204"/>
    <mergeCell ref="B205:E205"/>
    <mergeCell ref="F205:P205"/>
    <mergeCell ref="Q205:S205"/>
    <mergeCell ref="B200:E200"/>
    <mergeCell ref="F200:P200"/>
    <mergeCell ref="Q200:S200"/>
    <mergeCell ref="B201:E201"/>
    <mergeCell ref="F201:P201"/>
    <mergeCell ref="Q201:S201"/>
    <mergeCell ref="B197:D197"/>
    <mergeCell ref="E197:G197"/>
    <mergeCell ref="H197:J197"/>
    <mergeCell ref="K197:L197"/>
    <mergeCell ref="M197:O197"/>
    <mergeCell ref="P197:Q197"/>
    <mergeCell ref="B196:D196"/>
    <mergeCell ref="E196:G196"/>
    <mergeCell ref="H196:J196"/>
    <mergeCell ref="K196:L196"/>
    <mergeCell ref="M196:O196"/>
    <mergeCell ref="P196:Q196"/>
    <mergeCell ref="B193:D193"/>
    <mergeCell ref="E193:G193"/>
    <mergeCell ref="H193:J193"/>
    <mergeCell ref="K193:L193"/>
    <mergeCell ref="M193:O193"/>
    <mergeCell ref="P193:Q193"/>
    <mergeCell ref="B192:D192"/>
    <mergeCell ref="E192:G192"/>
    <mergeCell ref="H192:J192"/>
    <mergeCell ref="K192:L192"/>
    <mergeCell ref="M192:O192"/>
    <mergeCell ref="P192:Q192"/>
    <mergeCell ref="B186:C186"/>
    <mergeCell ref="D186:P186"/>
    <mergeCell ref="B188:C188"/>
    <mergeCell ref="D188:F188"/>
    <mergeCell ref="G188:H188"/>
    <mergeCell ref="B189:C189"/>
    <mergeCell ref="D189:F189"/>
    <mergeCell ref="G189:H189"/>
    <mergeCell ref="N189:O189"/>
    <mergeCell ref="B184:C184"/>
    <mergeCell ref="E184:F184"/>
    <mergeCell ref="H184:I184"/>
    <mergeCell ref="K184:L184"/>
    <mergeCell ref="N184:O184"/>
    <mergeCell ref="B185:C185"/>
    <mergeCell ref="E185:F185"/>
    <mergeCell ref="H185:I185"/>
    <mergeCell ref="K185:L185"/>
    <mergeCell ref="B181:C181"/>
    <mergeCell ref="E181:F181"/>
    <mergeCell ref="H181:I181"/>
    <mergeCell ref="K181:L181"/>
    <mergeCell ref="N181:O181"/>
    <mergeCell ref="B183:C183"/>
    <mergeCell ref="E183:F183"/>
    <mergeCell ref="H183:I183"/>
    <mergeCell ref="K183:L183"/>
    <mergeCell ref="N183:O183"/>
    <mergeCell ref="B179:C179"/>
    <mergeCell ref="E179:F179"/>
    <mergeCell ref="H179:I179"/>
    <mergeCell ref="K179:L179"/>
    <mergeCell ref="N179:O179"/>
    <mergeCell ref="B180:C180"/>
    <mergeCell ref="E180:F180"/>
    <mergeCell ref="H180:I180"/>
    <mergeCell ref="K180:L180"/>
    <mergeCell ref="N180:O180"/>
    <mergeCell ref="D174:E174"/>
    <mergeCell ref="G174:H174"/>
    <mergeCell ref="J174:K174"/>
    <mergeCell ref="M174:N174"/>
    <mergeCell ref="B177:C177"/>
    <mergeCell ref="E177:F177"/>
    <mergeCell ref="H177:I177"/>
    <mergeCell ref="J172:K172"/>
    <mergeCell ref="M172:N172"/>
    <mergeCell ref="D173:E173"/>
    <mergeCell ref="G173:H173"/>
    <mergeCell ref="J173:K173"/>
    <mergeCell ref="M173:N173"/>
    <mergeCell ref="B162:C162"/>
    <mergeCell ref="D162:F162"/>
    <mergeCell ref="B163:C163"/>
    <mergeCell ref="D163:F163"/>
    <mergeCell ref="D172:E172"/>
    <mergeCell ref="G172:H172"/>
    <mergeCell ref="B157:E157"/>
    <mergeCell ref="F157:P157"/>
    <mergeCell ref="Q157:S157"/>
    <mergeCell ref="B160:C160"/>
    <mergeCell ref="D160:F160"/>
    <mergeCell ref="B161:C161"/>
    <mergeCell ref="D161:F161"/>
    <mergeCell ref="B153:E153"/>
    <mergeCell ref="F153:P153"/>
    <mergeCell ref="Q153:S153"/>
    <mergeCell ref="B156:E156"/>
    <mergeCell ref="F156:P156"/>
    <mergeCell ref="Q156:S156"/>
    <mergeCell ref="B151:E151"/>
    <mergeCell ref="F151:P151"/>
    <mergeCell ref="Q151:S151"/>
    <mergeCell ref="B152:E152"/>
    <mergeCell ref="F152:P152"/>
    <mergeCell ref="Q152:S152"/>
    <mergeCell ref="B147:E147"/>
    <mergeCell ref="F147:P147"/>
    <mergeCell ref="Q147:S147"/>
    <mergeCell ref="B148:E148"/>
    <mergeCell ref="F148:P148"/>
    <mergeCell ref="Q148:S148"/>
    <mergeCell ref="B144:D144"/>
    <mergeCell ref="E144:G144"/>
    <mergeCell ref="H144:J144"/>
    <mergeCell ref="K144:L144"/>
    <mergeCell ref="M144:O144"/>
    <mergeCell ref="P144:Q144"/>
    <mergeCell ref="B143:D143"/>
    <mergeCell ref="E143:G143"/>
    <mergeCell ref="H143:J143"/>
    <mergeCell ref="K143:L143"/>
    <mergeCell ref="M143:O143"/>
    <mergeCell ref="P143:Q143"/>
    <mergeCell ref="B140:D140"/>
    <mergeCell ref="E140:G140"/>
    <mergeCell ref="H140:J140"/>
    <mergeCell ref="K140:L140"/>
    <mergeCell ref="M140:O140"/>
    <mergeCell ref="P140:Q140"/>
    <mergeCell ref="B139:D139"/>
    <mergeCell ref="E139:G139"/>
    <mergeCell ref="H139:J139"/>
    <mergeCell ref="K139:L139"/>
    <mergeCell ref="M139:O139"/>
    <mergeCell ref="P139:Q139"/>
    <mergeCell ref="B133:C133"/>
    <mergeCell ref="D133:P133"/>
    <mergeCell ref="B135:C135"/>
    <mergeCell ref="D135:F135"/>
    <mergeCell ref="G135:H135"/>
    <mergeCell ref="B136:C136"/>
    <mergeCell ref="D136:F136"/>
    <mergeCell ref="G136:H136"/>
    <mergeCell ref="N136:O136"/>
    <mergeCell ref="B131:C131"/>
    <mergeCell ref="E131:F131"/>
    <mergeCell ref="H131:I131"/>
    <mergeCell ref="K131:L131"/>
    <mergeCell ref="N131:O131"/>
    <mergeCell ref="B132:C132"/>
    <mergeCell ref="E132:F132"/>
    <mergeCell ref="H132:I132"/>
    <mergeCell ref="K132:L132"/>
    <mergeCell ref="B128:C128"/>
    <mergeCell ref="E128:F128"/>
    <mergeCell ref="H128:I128"/>
    <mergeCell ref="K128:L128"/>
    <mergeCell ref="N128:O128"/>
    <mergeCell ref="B130:C130"/>
    <mergeCell ref="E130:F130"/>
    <mergeCell ref="H130:I130"/>
    <mergeCell ref="K130:L130"/>
    <mergeCell ref="N130:O130"/>
    <mergeCell ref="B126:C126"/>
    <mergeCell ref="E126:F126"/>
    <mergeCell ref="H126:I126"/>
    <mergeCell ref="K126:L126"/>
    <mergeCell ref="N126:O126"/>
    <mergeCell ref="B127:C127"/>
    <mergeCell ref="E127:F127"/>
    <mergeCell ref="H127:I127"/>
    <mergeCell ref="K127:L127"/>
    <mergeCell ref="N127:O127"/>
    <mergeCell ref="D121:E121"/>
    <mergeCell ref="G121:H121"/>
    <mergeCell ref="J121:K121"/>
    <mergeCell ref="M121:N121"/>
    <mergeCell ref="B124:C124"/>
    <mergeCell ref="E124:F124"/>
    <mergeCell ref="H124:I124"/>
    <mergeCell ref="J119:K119"/>
    <mergeCell ref="M119:N119"/>
    <mergeCell ref="D120:E120"/>
    <mergeCell ref="G120:H120"/>
    <mergeCell ref="J120:K120"/>
    <mergeCell ref="M120:N120"/>
    <mergeCell ref="B109:C109"/>
    <mergeCell ref="D109:F109"/>
    <mergeCell ref="B110:C110"/>
    <mergeCell ref="D110:F110"/>
    <mergeCell ref="D119:E119"/>
    <mergeCell ref="G119:H119"/>
    <mergeCell ref="B104:E104"/>
    <mergeCell ref="F104:P104"/>
    <mergeCell ref="Q104:S104"/>
    <mergeCell ref="B107:C107"/>
    <mergeCell ref="D107:F107"/>
    <mergeCell ref="B108:C108"/>
    <mergeCell ref="D108:F108"/>
    <mergeCell ref="B100:E100"/>
    <mergeCell ref="F100:P100"/>
    <mergeCell ref="Q100:S100"/>
    <mergeCell ref="B103:E103"/>
    <mergeCell ref="F103:P103"/>
    <mergeCell ref="Q103:S103"/>
    <mergeCell ref="B98:E98"/>
    <mergeCell ref="F98:P98"/>
    <mergeCell ref="Q98:S98"/>
    <mergeCell ref="B99:E99"/>
    <mergeCell ref="F99:P99"/>
    <mergeCell ref="Q99:S99"/>
    <mergeCell ref="B94:E94"/>
    <mergeCell ref="F94:P94"/>
    <mergeCell ref="Q94:S94"/>
    <mergeCell ref="B95:E95"/>
    <mergeCell ref="F95:P95"/>
    <mergeCell ref="Q95:S95"/>
    <mergeCell ref="B91:D91"/>
    <mergeCell ref="E91:G91"/>
    <mergeCell ref="H91:J91"/>
    <mergeCell ref="K91:L91"/>
    <mergeCell ref="M91:O91"/>
    <mergeCell ref="P91:Q91"/>
    <mergeCell ref="B90:D90"/>
    <mergeCell ref="E90:G90"/>
    <mergeCell ref="H90:J90"/>
    <mergeCell ref="K90:L90"/>
    <mergeCell ref="M90:O90"/>
    <mergeCell ref="P90:Q90"/>
    <mergeCell ref="B87:D87"/>
    <mergeCell ref="E87:G87"/>
    <mergeCell ref="H87:J87"/>
    <mergeCell ref="K87:L87"/>
    <mergeCell ref="M87:O87"/>
    <mergeCell ref="P87:Q87"/>
    <mergeCell ref="B86:D86"/>
    <mergeCell ref="E86:G86"/>
    <mergeCell ref="H86:J86"/>
    <mergeCell ref="K86:L86"/>
    <mergeCell ref="M86:O86"/>
    <mergeCell ref="P86:Q86"/>
    <mergeCell ref="B80:C80"/>
    <mergeCell ref="D80:P80"/>
    <mergeCell ref="B82:C82"/>
    <mergeCell ref="D82:F82"/>
    <mergeCell ref="G82:H82"/>
    <mergeCell ref="B83:C83"/>
    <mergeCell ref="D83:F83"/>
    <mergeCell ref="G83:H83"/>
    <mergeCell ref="N83:O83"/>
    <mergeCell ref="B78:C78"/>
    <mergeCell ref="E78:F78"/>
    <mergeCell ref="H78:I78"/>
    <mergeCell ref="K78:L78"/>
    <mergeCell ref="N78:O78"/>
    <mergeCell ref="B79:C79"/>
    <mergeCell ref="E79:F79"/>
    <mergeCell ref="H79:I79"/>
    <mergeCell ref="K79:L79"/>
    <mergeCell ref="B75:C75"/>
    <mergeCell ref="E75:F75"/>
    <mergeCell ref="H75:I75"/>
    <mergeCell ref="K75:L75"/>
    <mergeCell ref="N75:O75"/>
    <mergeCell ref="B77:C77"/>
    <mergeCell ref="E77:F77"/>
    <mergeCell ref="H77:I77"/>
    <mergeCell ref="K77:L77"/>
    <mergeCell ref="N77:O77"/>
    <mergeCell ref="B73:C73"/>
    <mergeCell ref="E73:F73"/>
    <mergeCell ref="H73:I73"/>
    <mergeCell ref="K73:L73"/>
    <mergeCell ref="N73:O73"/>
    <mergeCell ref="B74:C74"/>
    <mergeCell ref="E74:F74"/>
    <mergeCell ref="H74:I74"/>
    <mergeCell ref="K74:L74"/>
    <mergeCell ref="N74:O74"/>
    <mergeCell ref="D68:E68"/>
    <mergeCell ref="G68:H68"/>
    <mergeCell ref="J68:K68"/>
    <mergeCell ref="M68:N68"/>
    <mergeCell ref="B71:C71"/>
    <mergeCell ref="E71:F71"/>
    <mergeCell ref="H71:I71"/>
    <mergeCell ref="J66:K66"/>
    <mergeCell ref="M66:N66"/>
    <mergeCell ref="D67:E67"/>
    <mergeCell ref="G67:H67"/>
    <mergeCell ref="J67:K67"/>
    <mergeCell ref="M67:N67"/>
    <mergeCell ref="B56:C56"/>
    <mergeCell ref="D56:F56"/>
    <mergeCell ref="B57:C57"/>
    <mergeCell ref="D57:F57"/>
    <mergeCell ref="D66:E66"/>
    <mergeCell ref="G66:H66"/>
    <mergeCell ref="B51:E51"/>
    <mergeCell ref="F51:P51"/>
    <mergeCell ref="Q51:S51"/>
    <mergeCell ref="B54:C54"/>
    <mergeCell ref="D54:F54"/>
    <mergeCell ref="B55:C55"/>
    <mergeCell ref="D55:F55"/>
    <mergeCell ref="B47:E47"/>
    <mergeCell ref="F47:P47"/>
    <mergeCell ref="Q47:S47"/>
    <mergeCell ref="B50:E50"/>
    <mergeCell ref="F50:P50"/>
    <mergeCell ref="Q50:S50"/>
    <mergeCell ref="B45:E45"/>
    <mergeCell ref="F45:P45"/>
    <mergeCell ref="Q45:S45"/>
    <mergeCell ref="B46:E46"/>
    <mergeCell ref="F46:P46"/>
    <mergeCell ref="Q46:S46"/>
    <mergeCell ref="B41:E41"/>
    <mergeCell ref="F41:P41"/>
    <mergeCell ref="Q41:S41"/>
    <mergeCell ref="B42:E42"/>
    <mergeCell ref="F42:P42"/>
    <mergeCell ref="Q42:S42"/>
    <mergeCell ref="B38:D38"/>
    <mergeCell ref="E38:G38"/>
    <mergeCell ref="H38:J38"/>
    <mergeCell ref="K38:L38"/>
    <mergeCell ref="M38:O38"/>
    <mergeCell ref="P38:Q38"/>
    <mergeCell ref="B37:D37"/>
    <mergeCell ref="E37:G37"/>
    <mergeCell ref="H37:J37"/>
    <mergeCell ref="K37:L37"/>
    <mergeCell ref="M37:O37"/>
    <mergeCell ref="P37:Q37"/>
    <mergeCell ref="B34:D34"/>
    <mergeCell ref="E34:G34"/>
    <mergeCell ref="H34:J34"/>
    <mergeCell ref="K34:L34"/>
    <mergeCell ref="M34:O34"/>
    <mergeCell ref="P34:Q34"/>
    <mergeCell ref="B33:D33"/>
    <mergeCell ref="E33:G33"/>
    <mergeCell ref="H33:J33"/>
    <mergeCell ref="K33:L33"/>
    <mergeCell ref="M33:O33"/>
    <mergeCell ref="P33:Q33"/>
    <mergeCell ref="B27:C27"/>
    <mergeCell ref="D27:P27"/>
    <mergeCell ref="B29:C29"/>
    <mergeCell ref="D29:F29"/>
    <mergeCell ref="G29:H29"/>
    <mergeCell ref="B30:C30"/>
    <mergeCell ref="D30:F30"/>
    <mergeCell ref="G30:H30"/>
    <mergeCell ref="N30:O30"/>
    <mergeCell ref="B25:C25"/>
    <mergeCell ref="E25:F25"/>
    <mergeCell ref="H25:I25"/>
    <mergeCell ref="K25:L25"/>
    <mergeCell ref="N25:O25"/>
    <mergeCell ref="B26:C26"/>
    <mergeCell ref="E26:F26"/>
    <mergeCell ref="H26:I26"/>
    <mergeCell ref="K26:L26"/>
    <mergeCell ref="B22:C22"/>
    <mergeCell ref="E22:F22"/>
    <mergeCell ref="H22:I22"/>
    <mergeCell ref="K22:L22"/>
    <mergeCell ref="N22:O22"/>
    <mergeCell ref="B24:C24"/>
    <mergeCell ref="E24:F24"/>
    <mergeCell ref="H24:I24"/>
    <mergeCell ref="K24:L24"/>
    <mergeCell ref="N24:O24"/>
    <mergeCell ref="K20:L20"/>
    <mergeCell ref="N20:O20"/>
    <mergeCell ref="B21:C21"/>
    <mergeCell ref="E21:F21"/>
    <mergeCell ref="H21:I21"/>
    <mergeCell ref="K21:L21"/>
    <mergeCell ref="N21:O21"/>
    <mergeCell ref="B18:C18"/>
    <mergeCell ref="E18:F18"/>
    <mergeCell ref="H18:I18"/>
    <mergeCell ref="B20:C20"/>
    <mergeCell ref="E20:F20"/>
    <mergeCell ref="H20:I20"/>
    <mergeCell ref="B4:C4"/>
    <mergeCell ref="D4:F4"/>
    <mergeCell ref="B5:C5"/>
    <mergeCell ref="D5:F5"/>
    <mergeCell ref="B6:C6"/>
    <mergeCell ref="D6:F6"/>
    <mergeCell ref="B3:C3"/>
    <mergeCell ref="D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SizeTable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Mnemnosyne</dc:creator>
  <cp:lastModifiedBy>Mnemnosyne .</cp:lastModifiedBy>
  <dcterms:created xsi:type="dcterms:W3CDTF">2011-11-23T17:53:14Z</dcterms:created>
  <dcterms:modified xsi:type="dcterms:W3CDTF">2018-08-12T21:00:46Z</dcterms:modified>
</cp:coreProperties>
</file>